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文件媒體櫃\Desktop\115年度\03-函稿\1151002函-115年通知小團期末結報作業\"/>
    </mc:Choice>
  </mc:AlternateContent>
  <bookViews>
    <workbookView xWindow="0" yWindow="0" windowWidth="21840" windowHeight="12255" firstSheet="4" activeTab="4"/>
  </bookViews>
  <sheets>
    <sheet name="109年度(GV3結算,至9月底止)-109.11.7" sheetId="8" state="hidden" r:id="rId1"/>
    <sheet name="驗算式２_109年度GV3運用情形" sheetId="4" state="hidden" r:id="rId2"/>
    <sheet name="驗算式３-110.1.8" sheetId="10" state="hidden" r:id="rId3"/>
    <sheet name="109GV3_各單位運用情形彙總表" sheetId="6" state="hidden" r:id="rId4"/>
    <sheet name="收支清單" sheetId="11" r:id="rId5"/>
    <sheet name="110. . 統計(第二次繳回)" sheetId="7" state="hidden" r:id="rId6"/>
    <sheet name="109年度(F255結算)" sheetId="2" state="hidden" r:id="rId7"/>
    <sheet name="01020102" sheetId="3" state="hidden" r:id="rId8"/>
  </sheets>
  <definedNames>
    <definedName name="_xlnm.Print_Area" localSheetId="6">'109年度(F255結算)'!$A$2:$AP$29</definedName>
    <definedName name="_xlnm.Print_Area" localSheetId="0">'109年度(GV3結算,至9月底止)-109.11.7'!$A$1:$AW$30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1" l="1"/>
  <c r="D7" i="11" s="1"/>
  <c r="D8" i="11" s="1"/>
  <c r="N7" i="4" l="1"/>
  <c r="H7" i="4"/>
  <c r="G14" i="4"/>
  <c r="G15" i="4"/>
  <c r="G13" i="4"/>
  <c r="G7" i="4"/>
  <c r="G26" i="10" l="1"/>
  <c r="E26" i="10"/>
  <c r="D26" i="10"/>
  <c r="C26" i="10"/>
  <c r="I25" i="10"/>
  <c r="J25" i="10" s="1"/>
  <c r="I24" i="10"/>
  <c r="J24" i="10" s="1"/>
  <c r="I23" i="10"/>
  <c r="J23" i="10" s="1"/>
  <c r="I22" i="10"/>
  <c r="J22" i="10" s="1"/>
  <c r="I21" i="10"/>
  <c r="J21" i="10" s="1"/>
  <c r="I20" i="10"/>
  <c r="J20" i="10" s="1"/>
  <c r="I19" i="10"/>
  <c r="J19" i="10" s="1"/>
  <c r="I18" i="10"/>
  <c r="J18" i="10" s="1"/>
  <c r="I17" i="10"/>
  <c r="J17" i="10" s="1"/>
  <c r="I16" i="10"/>
  <c r="J16" i="10" s="1"/>
  <c r="I15" i="10"/>
  <c r="F15" i="10"/>
  <c r="J15" i="10" s="1"/>
  <c r="I14" i="10"/>
  <c r="J14" i="10" s="1"/>
  <c r="I13" i="10"/>
  <c r="J13" i="10" s="1"/>
  <c r="I12" i="10"/>
  <c r="J12" i="10" s="1"/>
  <c r="I11" i="10"/>
  <c r="J11" i="10" s="1"/>
  <c r="I10" i="10"/>
  <c r="J10" i="10" s="1"/>
  <c r="I9" i="10"/>
  <c r="J9" i="10" s="1"/>
  <c r="I8" i="10"/>
  <c r="J8" i="10" s="1"/>
  <c r="I7" i="10"/>
  <c r="J7" i="10" s="1"/>
  <c r="I6" i="10"/>
  <c r="J6" i="10" s="1"/>
  <c r="I5" i="10"/>
  <c r="J5" i="10" s="1"/>
  <c r="I4" i="10"/>
  <c r="J4" i="10" s="1"/>
  <c r="I3" i="10"/>
  <c r="I26" i="10" l="1"/>
  <c r="J3" i="10"/>
  <c r="F26" i="10"/>
  <c r="J26" i="10" s="1"/>
  <c r="C27" i="10"/>
  <c r="E28" i="10" s="1"/>
  <c r="F28" i="10" s="1"/>
  <c r="F15" i="4"/>
  <c r="D4" i="6" l="1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3" i="6"/>
  <c r="E4" i="6"/>
  <c r="E5" i="6"/>
  <c r="E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3" i="6"/>
  <c r="C26" i="6" l="1"/>
  <c r="O15" i="4"/>
  <c r="O16" i="4" s="1"/>
  <c r="J16" i="4"/>
  <c r="L16" i="4"/>
  <c r="N15" i="4" l="1"/>
  <c r="N16" i="4" s="1"/>
  <c r="I15" i="4"/>
  <c r="I16" i="4" s="1"/>
  <c r="K15" i="4"/>
  <c r="K14" i="4"/>
  <c r="M13" i="4"/>
  <c r="K13" i="4"/>
  <c r="M11" i="4"/>
  <c r="K11" i="4"/>
  <c r="K9" i="4"/>
  <c r="H4" i="4"/>
  <c r="H16" i="4" s="1"/>
  <c r="K16" i="4" l="1"/>
  <c r="H17" i="4" s="1"/>
  <c r="M16" i="4"/>
  <c r="E15" i="4" l="1"/>
  <c r="P15" i="4" s="1"/>
  <c r="F14" i="4" l="1"/>
  <c r="E14" i="4"/>
  <c r="F13" i="4"/>
  <c r="E13" i="4"/>
  <c r="F12" i="4"/>
  <c r="E12" i="4"/>
  <c r="F11" i="4"/>
  <c r="E11" i="4"/>
  <c r="F10" i="4"/>
  <c r="E10" i="4"/>
  <c r="F9" i="4"/>
  <c r="E9" i="4"/>
  <c r="F8" i="4"/>
  <c r="E8" i="4"/>
  <c r="F7" i="4"/>
  <c r="E7" i="4"/>
  <c r="F6" i="4"/>
  <c r="E6" i="4"/>
  <c r="F5" i="4"/>
  <c r="E5" i="4"/>
  <c r="P5" i="4" s="1"/>
  <c r="F4" i="4"/>
  <c r="E4" i="4"/>
  <c r="C9" i="4"/>
  <c r="P7" i="4" l="1"/>
  <c r="P9" i="4"/>
  <c r="P11" i="4"/>
  <c r="P13" i="4"/>
  <c r="P4" i="4"/>
  <c r="P6" i="4"/>
  <c r="P8" i="4"/>
  <c r="P10" i="4"/>
  <c r="P12" i="4"/>
  <c r="P14" i="4"/>
  <c r="CC28" i="8"/>
  <c r="CB28" i="8"/>
  <c r="CA28" i="8"/>
  <c r="BU28" i="8"/>
  <c r="BT28" i="8"/>
  <c r="BS28" i="8"/>
  <c r="BR28" i="8"/>
  <c r="BQ28" i="8"/>
  <c r="BP28" i="8"/>
  <c r="BO28" i="8"/>
  <c r="BN28" i="8"/>
  <c r="BM28" i="8"/>
  <c r="BL28" i="8"/>
  <c r="BK28" i="8"/>
  <c r="BJ28" i="8"/>
  <c r="BI28" i="8"/>
  <c r="BH28" i="8"/>
  <c r="BG28" i="8"/>
  <c r="BF28" i="8"/>
  <c r="BE28" i="8"/>
  <c r="BD28" i="8"/>
  <c r="BC28" i="8"/>
  <c r="BB28" i="8"/>
  <c r="BA28" i="8"/>
  <c r="AV28" i="8"/>
  <c r="AU28" i="8"/>
  <c r="AS28" i="8"/>
  <c r="AP28" i="8"/>
  <c r="AM28" i="8"/>
  <c r="AL28" i="8"/>
  <c r="AK28" i="8"/>
  <c r="AJ28" i="8"/>
  <c r="AH28" i="8"/>
  <c r="AF28" i="8"/>
  <c r="AD28" i="8"/>
  <c r="AB28" i="8"/>
  <c r="Z28" i="8"/>
  <c r="X28" i="8"/>
  <c r="V28" i="8"/>
  <c r="T28" i="8"/>
  <c r="R28" i="8"/>
  <c r="P28" i="8"/>
  <c r="N28" i="8"/>
  <c r="M28" i="8"/>
  <c r="L28" i="8"/>
  <c r="K28" i="8"/>
  <c r="I28" i="8"/>
  <c r="G28" i="8"/>
  <c r="E28" i="8"/>
  <c r="D28" i="8"/>
  <c r="C28" i="8"/>
  <c r="BV27" i="8"/>
  <c r="AN27" i="8"/>
  <c r="AG27" i="8"/>
  <c r="AE27" i="8"/>
  <c r="AC27" i="8"/>
  <c r="AA27" i="8"/>
  <c r="Y27" i="8"/>
  <c r="W27" i="8"/>
  <c r="U27" i="8"/>
  <c r="S27" i="8"/>
  <c r="Q27" i="8"/>
  <c r="O27" i="8"/>
  <c r="BV26" i="8"/>
  <c r="AN26" i="8"/>
  <c r="AG26" i="8"/>
  <c r="AE26" i="8"/>
  <c r="AC26" i="8"/>
  <c r="AA26" i="8"/>
  <c r="Y26" i="8"/>
  <c r="W26" i="8"/>
  <c r="U26" i="8"/>
  <c r="S26" i="8"/>
  <c r="Q26" i="8"/>
  <c r="O26" i="8"/>
  <c r="BV25" i="8"/>
  <c r="AN25" i="8"/>
  <c r="AG25" i="8"/>
  <c r="AE25" i="8"/>
  <c r="AC25" i="8"/>
  <c r="AA25" i="8"/>
  <c r="Y25" i="8"/>
  <c r="W25" i="8"/>
  <c r="U25" i="8"/>
  <c r="S25" i="8"/>
  <c r="Q25" i="8"/>
  <c r="O25" i="8"/>
  <c r="BV24" i="8"/>
  <c r="AN24" i="8"/>
  <c r="AG24" i="8"/>
  <c r="AE24" i="8"/>
  <c r="AC24" i="8"/>
  <c r="AA24" i="8"/>
  <c r="Y24" i="8"/>
  <c r="W24" i="8"/>
  <c r="U24" i="8"/>
  <c r="S24" i="8"/>
  <c r="Q24" i="8"/>
  <c r="O24" i="8"/>
  <c r="BV23" i="8"/>
  <c r="AN23" i="8"/>
  <c r="AG23" i="8"/>
  <c r="AE23" i="8"/>
  <c r="AC23" i="8"/>
  <c r="AA23" i="8"/>
  <c r="Y23" i="8"/>
  <c r="W23" i="8"/>
  <c r="U23" i="8"/>
  <c r="S23" i="8"/>
  <c r="AO23" i="8" s="1"/>
  <c r="Q23" i="8"/>
  <c r="H23" i="8"/>
  <c r="O23" i="8" s="1"/>
  <c r="BV22" i="8"/>
  <c r="AN22" i="8"/>
  <c r="AG22" i="8"/>
  <c r="AE22" i="8"/>
  <c r="AC22" i="8"/>
  <c r="AA22" i="8"/>
  <c r="Y22" i="8"/>
  <c r="W22" i="8"/>
  <c r="U22" i="8"/>
  <c r="S22" i="8"/>
  <c r="Q22" i="8"/>
  <c r="AO22" i="8" s="1"/>
  <c r="AQ22" i="8" s="1"/>
  <c r="O22" i="8"/>
  <c r="BV21" i="8"/>
  <c r="AN21" i="8"/>
  <c r="AG21" i="8"/>
  <c r="AE21" i="8"/>
  <c r="AO21" i="8" s="1"/>
  <c r="AQ21" i="8" s="1"/>
  <c r="AC21" i="8"/>
  <c r="AA21" i="8"/>
  <c r="Y21" i="8"/>
  <c r="W21" i="8"/>
  <c r="U21" i="8"/>
  <c r="S21" i="8"/>
  <c r="Q21" i="8"/>
  <c r="O21" i="8"/>
  <c r="BV20" i="8"/>
  <c r="AN20" i="8"/>
  <c r="AG20" i="8"/>
  <c r="AE20" i="8"/>
  <c r="AC20" i="8"/>
  <c r="AA20" i="8"/>
  <c r="Y20" i="8"/>
  <c r="W20" i="8"/>
  <c r="U20" i="8"/>
  <c r="S20" i="8"/>
  <c r="Q20" i="8"/>
  <c r="O20" i="8"/>
  <c r="BV19" i="8"/>
  <c r="AN19" i="8"/>
  <c r="AG19" i="8"/>
  <c r="AE19" i="8"/>
  <c r="AC19" i="8"/>
  <c r="AA19" i="8"/>
  <c r="Y19" i="8"/>
  <c r="W19" i="8"/>
  <c r="U19" i="8"/>
  <c r="S19" i="8"/>
  <c r="Q19" i="8"/>
  <c r="AO19" i="8" s="1"/>
  <c r="AQ19" i="8" s="1"/>
  <c r="J19" i="8"/>
  <c r="J28" i="8" s="1"/>
  <c r="H19" i="8"/>
  <c r="H28" i="8" s="1"/>
  <c r="BV18" i="8"/>
  <c r="AN18" i="8"/>
  <c r="AG18" i="8"/>
  <c r="AE18" i="8"/>
  <c r="AC18" i="8"/>
  <c r="AA18" i="8"/>
  <c r="Y18" i="8"/>
  <c r="W18" i="8"/>
  <c r="U18" i="8"/>
  <c r="S18" i="8"/>
  <c r="Q18" i="8"/>
  <c r="O18" i="8"/>
  <c r="BV17" i="8"/>
  <c r="AN17" i="8"/>
  <c r="AG17" i="8"/>
  <c r="AE17" i="8"/>
  <c r="AC17" i="8"/>
  <c r="AA17" i="8"/>
  <c r="Y17" i="8"/>
  <c r="W17" i="8"/>
  <c r="U17" i="8"/>
  <c r="S17" i="8"/>
  <c r="Q17" i="8"/>
  <c r="AO17" i="8" s="1"/>
  <c r="F17" i="8"/>
  <c r="F28" i="8" s="1"/>
  <c r="BV16" i="8"/>
  <c r="AN16" i="8"/>
  <c r="AG16" i="8"/>
  <c r="AE16" i="8"/>
  <c r="AC16" i="8"/>
  <c r="AA16" i="8"/>
  <c r="Y16" i="8"/>
  <c r="W16" i="8"/>
  <c r="U16" i="8"/>
  <c r="S16" i="8"/>
  <c r="Q16" i="8"/>
  <c r="O16" i="8"/>
  <c r="BV15" i="8"/>
  <c r="AN15" i="8"/>
  <c r="AG15" i="8"/>
  <c r="AE15" i="8"/>
  <c r="AC15" i="8"/>
  <c r="AA15" i="8"/>
  <c r="Y15" i="8"/>
  <c r="W15" i="8"/>
  <c r="U15" i="8"/>
  <c r="S15" i="8"/>
  <c r="Q15" i="8"/>
  <c r="O15" i="8"/>
  <c r="BV14" i="8"/>
  <c r="AN14" i="8"/>
  <c r="AG14" i="8"/>
  <c r="AE14" i="8"/>
  <c r="AC14" i="8"/>
  <c r="AA14" i="8"/>
  <c r="Y14" i="8"/>
  <c r="W14" i="8"/>
  <c r="U14" i="8"/>
  <c r="S14" i="8"/>
  <c r="Q14" i="8"/>
  <c r="O14" i="8"/>
  <c r="BV13" i="8"/>
  <c r="AN13" i="8"/>
  <c r="AG13" i="8"/>
  <c r="AE13" i="8"/>
  <c r="AC13" i="8"/>
  <c r="AA13" i="8"/>
  <c r="Y13" i="8"/>
  <c r="W13" i="8"/>
  <c r="U13" i="8"/>
  <c r="S13" i="8"/>
  <c r="Q13" i="8"/>
  <c r="O13" i="8"/>
  <c r="BV12" i="8"/>
  <c r="AN12" i="8"/>
  <c r="AG12" i="8"/>
  <c r="AE12" i="8"/>
  <c r="AC12" i="8"/>
  <c r="AA12" i="8"/>
  <c r="Y12" i="8"/>
  <c r="W12" i="8"/>
  <c r="U12" i="8"/>
  <c r="S12" i="8"/>
  <c r="Q12" i="8"/>
  <c r="O12" i="8"/>
  <c r="BV11" i="8"/>
  <c r="AN11" i="8"/>
  <c r="AG11" i="8"/>
  <c r="AE11" i="8"/>
  <c r="AC11" i="8"/>
  <c r="AA11" i="8"/>
  <c r="Y11" i="8"/>
  <c r="W11" i="8"/>
  <c r="U11" i="8"/>
  <c r="S11" i="8"/>
  <c r="Q11" i="8"/>
  <c r="O11" i="8"/>
  <c r="BV10" i="8"/>
  <c r="AN10" i="8"/>
  <c r="AG10" i="8"/>
  <c r="AE10" i="8"/>
  <c r="AC10" i="8"/>
  <c r="AA10" i="8"/>
  <c r="Y10" i="8"/>
  <c r="W10" i="8"/>
  <c r="U10" i="8"/>
  <c r="S10" i="8"/>
  <c r="Q10" i="8"/>
  <c r="O10" i="8"/>
  <c r="BV9" i="8"/>
  <c r="AN9" i="8"/>
  <c r="AG9" i="8"/>
  <c r="AE9" i="8"/>
  <c r="AC9" i="8"/>
  <c r="AA9" i="8"/>
  <c r="Y9" i="8"/>
  <c r="W9" i="8"/>
  <c r="U9" i="8"/>
  <c r="S9" i="8"/>
  <c r="Q9" i="8"/>
  <c r="O9" i="8"/>
  <c r="BV8" i="8"/>
  <c r="AN8" i="8"/>
  <c r="AG8" i="8"/>
  <c r="AE8" i="8"/>
  <c r="AC8" i="8"/>
  <c r="AA8" i="8"/>
  <c r="Y8" i="8"/>
  <c r="W8" i="8"/>
  <c r="U8" i="8"/>
  <c r="S8" i="8"/>
  <c r="Q8" i="8"/>
  <c r="O8" i="8"/>
  <c r="BV7" i="8"/>
  <c r="AN7" i="8"/>
  <c r="AG7" i="8"/>
  <c r="AE7" i="8"/>
  <c r="AC7" i="8"/>
  <c r="AA7" i="8"/>
  <c r="Y7" i="8"/>
  <c r="W7" i="8"/>
  <c r="U7" i="8"/>
  <c r="S7" i="8"/>
  <c r="Q7" i="8"/>
  <c r="O7" i="8"/>
  <c r="BV6" i="8"/>
  <c r="BV28" i="8" s="1"/>
  <c r="AN6" i="8"/>
  <c r="AG6" i="8"/>
  <c r="AE6" i="8"/>
  <c r="AC6" i="8"/>
  <c r="AA6" i="8"/>
  <c r="Y6" i="8"/>
  <c r="W6" i="8"/>
  <c r="U6" i="8"/>
  <c r="S6" i="8"/>
  <c r="Q6" i="8"/>
  <c r="O6" i="8"/>
  <c r="BV5" i="8"/>
  <c r="AN5" i="8"/>
  <c r="AI5" i="8"/>
  <c r="AI28" i="8" s="1"/>
  <c r="AG5" i="8"/>
  <c r="AE5" i="8"/>
  <c r="AC5" i="8"/>
  <c r="AA5" i="8"/>
  <c r="Y5" i="8"/>
  <c r="W5" i="8"/>
  <c r="W28" i="8" s="1"/>
  <c r="U5" i="8"/>
  <c r="S5" i="8"/>
  <c r="Q5" i="8"/>
  <c r="O17" i="8" l="1"/>
  <c r="AO20" i="8"/>
  <c r="AQ20" i="8" s="1"/>
  <c r="AO10" i="8"/>
  <c r="AO15" i="8"/>
  <c r="AO7" i="8"/>
  <c r="AQ7" i="8" s="1"/>
  <c r="AR7" i="8" s="1"/>
  <c r="AT7" i="8" s="1"/>
  <c r="AW7" i="8" s="1"/>
  <c r="AO25" i="8"/>
  <c r="AQ25" i="8" s="1"/>
  <c r="AR25" i="8" s="1"/>
  <c r="AT25" i="8" s="1"/>
  <c r="AW25" i="8" s="1"/>
  <c r="AO9" i="8"/>
  <c r="AO27" i="8"/>
  <c r="AQ27" i="8" s="1"/>
  <c r="AR27" i="8" s="1"/>
  <c r="AT27" i="8" s="1"/>
  <c r="AW27" i="8" s="1"/>
  <c r="U28" i="8"/>
  <c r="AA28" i="8"/>
  <c r="AO16" i="8"/>
  <c r="AG28" i="8"/>
  <c r="AC28" i="8"/>
  <c r="AE28" i="8"/>
  <c r="AO24" i="8"/>
  <c r="AQ24" i="8" s="1"/>
  <c r="AR24" i="8" s="1"/>
  <c r="AT24" i="8" s="1"/>
  <c r="AW24" i="8" s="1"/>
  <c r="AO13" i="8"/>
  <c r="AQ13" i="8" s="1"/>
  <c r="AR13" i="8" s="1"/>
  <c r="AT13" i="8" s="1"/>
  <c r="AW13" i="8" s="1"/>
  <c r="AO18" i="8"/>
  <c r="AQ18" i="8" s="1"/>
  <c r="AR18" i="8" s="1"/>
  <c r="AT18" i="8" s="1"/>
  <c r="AW18" i="8" s="1"/>
  <c r="AN28" i="8"/>
  <c r="Y28" i="8"/>
  <c r="AO11" i="8"/>
  <c r="AO8" i="8"/>
  <c r="AO26" i="8"/>
  <c r="AO14" i="8"/>
  <c r="AO5" i="8"/>
  <c r="AO28" i="8" s="1"/>
  <c r="AO12" i="8"/>
  <c r="AO6" i="8"/>
  <c r="AQ6" i="8" s="1"/>
  <c r="AR6" i="8" s="1"/>
  <c r="AT6" i="8" s="1"/>
  <c r="AW6" i="8" s="1"/>
  <c r="S28" i="8"/>
  <c r="O28" i="8"/>
  <c r="AQ9" i="8"/>
  <c r="AR9" i="8" s="1"/>
  <c r="AT9" i="8" s="1"/>
  <c r="AW9" i="8" s="1"/>
  <c r="AQ11" i="8"/>
  <c r="AR11" i="8" s="1"/>
  <c r="AT11" i="8" s="1"/>
  <c r="AW11" i="8" s="1"/>
  <c r="AQ17" i="8"/>
  <c r="AR17" i="8" s="1"/>
  <c r="AT17" i="8" s="1"/>
  <c r="AW17" i="8" s="1"/>
  <c r="AR21" i="8"/>
  <c r="AT21" i="8" s="1"/>
  <c r="AW21" i="8" s="1"/>
  <c r="AQ23" i="8"/>
  <c r="AR23" i="8" s="1"/>
  <c r="AT23" i="8" s="1"/>
  <c r="AW23" i="8" s="1"/>
  <c r="AQ26" i="8"/>
  <c r="AR26" i="8" s="1"/>
  <c r="AT26" i="8" s="1"/>
  <c r="AW26" i="8" s="1"/>
  <c r="AR22" i="8"/>
  <c r="AT22" i="8" s="1"/>
  <c r="AW22" i="8" s="1"/>
  <c r="AQ8" i="8"/>
  <c r="AR8" i="8" s="1"/>
  <c r="AT8" i="8" s="1"/>
  <c r="AW8" i="8" s="1"/>
  <c r="AQ12" i="8"/>
  <c r="AR12" i="8" s="1"/>
  <c r="AT12" i="8" s="1"/>
  <c r="AW12" i="8" s="1"/>
  <c r="AQ14" i="8"/>
  <c r="AR14" i="8" s="1"/>
  <c r="AT14" i="8" s="1"/>
  <c r="AW14" i="8" s="1"/>
  <c r="AQ10" i="8"/>
  <c r="AR10" i="8" s="1"/>
  <c r="AT10" i="8" s="1"/>
  <c r="AW10" i="8" s="1"/>
  <c r="AQ15" i="8"/>
  <c r="AR15" i="8" s="1"/>
  <c r="AT15" i="8" s="1"/>
  <c r="AW15" i="8" s="1"/>
  <c r="AQ16" i="8"/>
  <c r="AR16" i="8" s="1"/>
  <c r="AT16" i="8" s="1"/>
  <c r="AW16" i="8" s="1"/>
  <c r="AR20" i="8"/>
  <c r="AT20" i="8" s="1"/>
  <c r="AW20" i="8" s="1"/>
  <c r="Q28" i="8"/>
  <c r="O19" i="8"/>
  <c r="AQ5" i="8"/>
  <c r="AX24" i="8" l="1"/>
  <c r="AY24" i="8" s="1"/>
  <c r="CF24" i="8"/>
  <c r="AQ28" i="8"/>
  <c r="AX27" i="8"/>
  <c r="AY27" i="8" s="1"/>
  <c r="CF27" i="8"/>
  <c r="AX25" i="8"/>
  <c r="AY25" i="8" s="1"/>
  <c r="CF25" i="8"/>
  <c r="AX23" i="8"/>
  <c r="AY23" i="8" s="1"/>
  <c r="CF23" i="8"/>
  <c r="CF22" i="8"/>
  <c r="AX22" i="8"/>
  <c r="AY22" i="8" s="1"/>
  <c r="AX17" i="8"/>
  <c r="AY17" i="8" s="1"/>
  <c r="CF17" i="8"/>
  <c r="AR19" i="8"/>
  <c r="AT19" i="8" s="1"/>
  <c r="AW19" i="8" s="1"/>
  <c r="O5" i="8"/>
  <c r="AR5" i="8" s="1"/>
  <c r="AX14" i="8"/>
  <c r="AY14" i="8" s="1"/>
  <c r="CF14" i="8"/>
  <c r="AX13" i="8"/>
  <c r="AY13" i="8" s="1"/>
  <c r="CF13" i="8"/>
  <c r="AX6" i="8"/>
  <c r="AY6" i="8" s="1"/>
  <c r="CF6" i="8"/>
  <c r="CF21" i="8"/>
  <c r="AX21" i="8"/>
  <c r="AY21" i="8" s="1"/>
  <c r="AX11" i="8"/>
  <c r="AY11" i="8" s="1"/>
  <c r="CF11" i="8"/>
  <c r="AX16" i="8"/>
  <c r="AY16" i="8" s="1"/>
  <c r="CF16" i="8"/>
  <c r="AX8" i="8"/>
  <c r="AY8" i="8" s="1"/>
  <c r="CF8" i="8"/>
  <c r="AX15" i="8"/>
  <c r="AY15" i="8" s="1"/>
  <c r="CF15" i="8"/>
  <c r="AX7" i="8"/>
  <c r="AY7" i="8" s="1"/>
  <c r="CF7" i="8"/>
  <c r="AX10" i="8"/>
  <c r="AY10" i="8" s="1"/>
  <c r="CF10" i="8"/>
  <c r="AX20" i="8"/>
  <c r="AY20" i="8" s="1"/>
  <c r="CF20" i="8"/>
  <c r="AX12" i="8"/>
  <c r="AY12" i="8" s="1"/>
  <c r="CF12" i="8"/>
  <c r="AX26" i="8"/>
  <c r="AY26" i="8" s="1"/>
  <c r="CF26" i="8"/>
  <c r="AX18" i="8"/>
  <c r="AY18" i="8" s="1"/>
  <c r="CF18" i="8"/>
  <c r="AX9" i="8"/>
  <c r="AY9" i="8" s="1"/>
  <c r="CF9" i="8"/>
  <c r="AR28" i="8" l="1"/>
  <c r="AT5" i="8"/>
  <c r="CF19" i="8"/>
  <c r="AX19" i="8"/>
  <c r="AY19" i="8" s="1"/>
  <c r="AW5" i="8" l="1"/>
  <c r="AX5" i="8" s="1"/>
  <c r="AT28" i="8"/>
  <c r="AW28" i="8" s="1"/>
  <c r="AY5" i="8" l="1"/>
  <c r="AX28" i="8"/>
  <c r="AY28" i="8" s="1"/>
  <c r="AG28" i="2" l="1"/>
  <c r="AO6" i="2" l="1"/>
  <c r="AO7" i="2"/>
  <c r="AO8" i="2"/>
  <c r="AO9" i="2"/>
  <c r="AO10" i="2"/>
  <c r="AO11" i="2"/>
  <c r="AO12" i="2"/>
  <c r="AO13" i="2"/>
  <c r="AO14" i="2"/>
  <c r="AO15" i="2"/>
  <c r="AO16" i="2"/>
  <c r="AO17" i="2"/>
  <c r="AO18" i="2"/>
  <c r="AO19" i="2"/>
  <c r="AO20" i="2"/>
  <c r="AO21" i="2"/>
  <c r="AO22" i="2"/>
  <c r="AO23" i="2"/>
  <c r="AO24" i="2"/>
  <c r="AO25" i="2"/>
  <c r="AO26" i="2"/>
  <c r="AO27" i="2"/>
  <c r="AN6" i="2"/>
  <c r="AP6" i="2" s="1"/>
  <c r="AN5" i="2"/>
  <c r="J28" i="2" l="1"/>
  <c r="D3" i="6" l="1"/>
  <c r="D26" i="6" s="1"/>
  <c r="C31" i="6" s="1"/>
  <c r="I21" i="4" l="1"/>
  <c r="F32" i="7" l="1"/>
  <c r="P4" i="7" l="1"/>
  <c r="K6" i="7" l="1"/>
  <c r="L6" i="7"/>
  <c r="K7" i="7"/>
  <c r="L7" i="7"/>
  <c r="K8" i="7"/>
  <c r="L8" i="7"/>
  <c r="K9" i="7"/>
  <c r="L9" i="7"/>
  <c r="K10" i="7"/>
  <c r="L10" i="7"/>
  <c r="K11" i="7"/>
  <c r="L11" i="7"/>
  <c r="K12" i="7"/>
  <c r="L12" i="7"/>
  <c r="K13" i="7"/>
  <c r="L13" i="7"/>
  <c r="K14" i="7"/>
  <c r="L14" i="7"/>
  <c r="K15" i="7"/>
  <c r="L15" i="7"/>
  <c r="K16" i="7"/>
  <c r="L16" i="7"/>
  <c r="K17" i="7"/>
  <c r="L17" i="7"/>
  <c r="K18" i="7"/>
  <c r="L18" i="7"/>
  <c r="K19" i="7"/>
  <c r="L19" i="7"/>
  <c r="K20" i="7"/>
  <c r="L20" i="7"/>
  <c r="K21" i="7"/>
  <c r="L21" i="7"/>
  <c r="K22" i="7"/>
  <c r="L22" i="7"/>
  <c r="K23" i="7"/>
  <c r="L23" i="7"/>
  <c r="K24" i="7"/>
  <c r="L24" i="7"/>
  <c r="K25" i="7"/>
  <c r="L25" i="7"/>
  <c r="K26" i="7"/>
  <c r="L26" i="7"/>
  <c r="K27" i="7"/>
  <c r="L27" i="7"/>
  <c r="L5" i="7"/>
  <c r="K5" i="7"/>
  <c r="Q27" i="7" l="1"/>
  <c r="Q25" i="7"/>
  <c r="Q23" i="7"/>
  <c r="Q21" i="7"/>
  <c r="Q19" i="7"/>
  <c r="Q17" i="7"/>
  <c r="Q15" i="7"/>
  <c r="Q13" i="7"/>
  <c r="Q11" i="7"/>
  <c r="Q9" i="7"/>
  <c r="Q7" i="7"/>
  <c r="Q26" i="7"/>
  <c r="Q22" i="7"/>
  <c r="Q18" i="7"/>
  <c r="Q14" i="7"/>
  <c r="Q12" i="7"/>
  <c r="Q10" i="7"/>
  <c r="Q8" i="7"/>
  <c r="Q6" i="7"/>
  <c r="Q24" i="7"/>
  <c r="Q20" i="7"/>
  <c r="Q16" i="7"/>
  <c r="M19" i="7"/>
  <c r="Q4" i="7" l="1"/>
  <c r="M6" i="7"/>
  <c r="M7" i="7"/>
  <c r="N7" i="7" s="1"/>
  <c r="M8" i="7"/>
  <c r="M9" i="7"/>
  <c r="N9" i="7" s="1"/>
  <c r="M10" i="7"/>
  <c r="N10" i="7" s="1"/>
  <c r="M11" i="7"/>
  <c r="M12" i="7"/>
  <c r="M13" i="7"/>
  <c r="N13" i="7" s="1"/>
  <c r="M14" i="7"/>
  <c r="M15" i="7"/>
  <c r="N15" i="7" s="1"/>
  <c r="M16" i="7"/>
  <c r="M17" i="7"/>
  <c r="N17" i="7" s="1"/>
  <c r="M18" i="7"/>
  <c r="M20" i="7"/>
  <c r="M21" i="7"/>
  <c r="N21" i="7" s="1"/>
  <c r="M22" i="7"/>
  <c r="M23" i="7"/>
  <c r="M24" i="7"/>
  <c r="M25" i="7"/>
  <c r="N25" i="7" s="1"/>
  <c r="M26" i="7"/>
  <c r="M27" i="7"/>
  <c r="N27" i="7" s="1"/>
  <c r="M5" i="7"/>
  <c r="M4" i="7" l="1"/>
  <c r="M3" i="7" s="1"/>
  <c r="N26" i="7"/>
  <c r="N23" i="7"/>
  <c r="N19" i="7"/>
  <c r="N18" i="7"/>
  <c r="N14" i="7"/>
  <c r="N12" i="7"/>
  <c r="N11" i="7"/>
  <c r="K4" i="7"/>
  <c r="L4" i="7"/>
  <c r="N22" i="7"/>
  <c r="N6" i="7"/>
  <c r="N24" i="7"/>
  <c r="N20" i="7"/>
  <c r="N16" i="7"/>
  <c r="N8" i="7"/>
  <c r="N5" i="7"/>
  <c r="D30" i="7"/>
  <c r="E30" i="7" s="1"/>
  <c r="F24" i="7"/>
  <c r="F13" i="7"/>
  <c r="F12" i="7"/>
  <c r="F9" i="7"/>
  <c r="F7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5" i="7"/>
  <c r="G4" i="7"/>
  <c r="H4" i="7"/>
  <c r="I4" i="7"/>
  <c r="I3" i="7" s="1"/>
  <c r="F6" i="7"/>
  <c r="F8" i="7"/>
  <c r="F11" i="7"/>
  <c r="F14" i="7"/>
  <c r="F15" i="7"/>
  <c r="F16" i="7"/>
  <c r="F17" i="7"/>
  <c r="F18" i="7"/>
  <c r="F19" i="7"/>
  <c r="F20" i="7"/>
  <c r="F21" i="7"/>
  <c r="F22" i="7"/>
  <c r="F23" i="7"/>
  <c r="F25" i="7"/>
  <c r="F26" i="7"/>
  <c r="F27" i="7"/>
  <c r="F5" i="7"/>
  <c r="E4" i="7"/>
  <c r="E3" i="7" s="1"/>
  <c r="C4" i="7"/>
  <c r="K3" i="7" l="1"/>
  <c r="N3" i="7" s="1"/>
  <c r="G3" i="7"/>
  <c r="D31" i="7" s="1"/>
  <c r="N4" i="7"/>
  <c r="J4" i="7"/>
  <c r="D4" i="7"/>
  <c r="C3" i="7" s="1"/>
  <c r="F10" i="7"/>
  <c r="F4" i="7"/>
  <c r="F3" i="7" l="1"/>
  <c r="C31" i="7"/>
  <c r="C32" i="7" s="1"/>
  <c r="J3" i="7"/>
  <c r="E31" i="7"/>
  <c r="D32" i="7"/>
  <c r="E32" i="7" s="1"/>
  <c r="G32" i="7" s="1"/>
  <c r="F4" i="6" l="1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3" i="6"/>
  <c r="E26" i="6"/>
  <c r="D31" i="6" s="1"/>
  <c r="D32" i="6" s="1"/>
  <c r="F26" i="6" l="1"/>
  <c r="I22" i="4" l="1"/>
  <c r="I23" i="4"/>
  <c r="I24" i="4"/>
  <c r="I25" i="4"/>
  <c r="I26" i="4"/>
  <c r="I27" i="4"/>
  <c r="I28" i="4"/>
  <c r="I29" i="4"/>
  <c r="C16" i="4"/>
  <c r="D16" i="4"/>
  <c r="E16" i="4"/>
  <c r="F16" i="4"/>
  <c r="G16" i="4"/>
  <c r="I18" i="4" s="1"/>
  <c r="B16" i="4"/>
  <c r="C28" i="6" s="1"/>
  <c r="C30" i="6" s="1"/>
  <c r="C32" i="6" s="1"/>
  <c r="K18" i="4" l="1"/>
  <c r="N18" i="4" s="1"/>
  <c r="E17" i="4"/>
  <c r="I30" i="4"/>
  <c r="I32" i="4"/>
  <c r="I31" i="4"/>
  <c r="P16" i="4"/>
  <c r="I33" i="4" l="1"/>
  <c r="L28" i="2" l="1"/>
  <c r="AT28" i="2" l="1"/>
  <c r="AS28" i="2"/>
  <c r="AR28" i="2"/>
  <c r="AM28" i="2"/>
  <c r="AL28" i="2"/>
  <c r="AK28" i="2"/>
  <c r="AJ28" i="2"/>
  <c r="AH28" i="2"/>
  <c r="AF28" i="2"/>
  <c r="AD28" i="2"/>
  <c r="AB28" i="2"/>
  <c r="Z28" i="2"/>
  <c r="X28" i="2"/>
  <c r="V28" i="2"/>
  <c r="T28" i="2"/>
  <c r="R28" i="2"/>
  <c r="P28" i="2"/>
  <c r="K28" i="2"/>
  <c r="I28" i="2"/>
  <c r="H28" i="2"/>
  <c r="G28" i="2"/>
  <c r="E28" i="2"/>
  <c r="D28" i="2"/>
  <c r="C28" i="2"/>
  <c r="AU27" i="2"/>
  <c r="AN27" i="2"/>
  <c r="O27" i="2"/>
  <c r="AU26" i="2"/>
  <c r="AN26" i="2"/>
  <c r="O26" i="2"/>
  <c r="AU25" i="2"/>
  <c r="AN25" i="2"/>
  <c r="O25" i="2"/>
  <c r="AU24" i="2"/>
  <c r="AN24" i="2"/>
  <c r="O24" i="2"/>
  <c r="AU23" i="2"/>
  <c r="AN23" i="2"/>
  <c r="O23" i="2"/>
  <c r="AU22" i="2"/>
  <c r="AN22" i="2"/>
  <c r="O22" i="2"/>
  <c r="AU21" i="2"/>
  <c r="AN21" i="2"/>
  <c r="O21" i="2"/>
  <c r="AU20" i="2"/>
  <c r="AN20" i="2"/>
  <c r="O20" i="2"/>
  <c r="AU19" i="2"/>
  <c r="AN19" i="2"/>
  <c r="O19" i="2"/>
  <c r="AU18" i="2"/>
  <c r="AN18" i="2"/>
  <c r="O18" i="2"/>
  <c r="AU17" i="2"/>
  <c r="AN17" i="2"/>
  <c r="O17" i="2"/>
  <c r="AU16" i="2"/>
  <c r="AN16" i="2"/>
  <c r="O16" i="2"/>
  <c r="AU15" i="2"/>
  <c r="AN15" i="2"/>
  <c r="O15" i="2"/>
  <c r="AU14" i="2"/>
  <c r="AN14" i="2"/>
  <c r="O14" i="2"/>
  <c r="AU13" i="2"/>
  <c r="AN13" i="2"/>
  <c r="O13" i="2"/>
  <c r="AU12" i="2"/>
  <c r="AN12" i="2"/>
  <c r="O12" i="2"/>
  <c r="AU11" i="2"/>
  <c r="AN11" i="2"/>
  <c r="O11" i="2"/>
  <c r="AU10" i="2"/>
  <c r="AN10" i="2"/>
  <c r="O10" i="2"/>
  <c r="AU9" i="2"/>
  <c r="AN9" i="2"/>
  <c r="O9" i="2"/>
  <c r="AU8" i="2"/>
  <c r="AN8" i="2"/>
  <c r="O8" i="2"/>
  <c r="M28" i="2"/>
  <c r="AU7" i="2"/>
  <c r="AN7" i="2"/>
  <c r="O7" i="2"/>
  <c r="AU6" i="2"/>
  <c r="O6" i="2"/>
  <c r="AQ6" i="2" s="1"/>
  <c r="N28" i="2"/>
  <c r="AU5" i="2"/>
  <c r="AI28" i="2"/>
  <c r="AE28" i="2"/>
  <c r="AC28" i="2"/>
  <c r="AA28" i="2"/>
  <c r="Y28" i="2"/>
  <c r="W28" i="2"/>
  <c r="U28" i="2"/>
  <c r="S28" i="2"/>
  <c r="Q28" i="2"/>
  <c r="O5" i="2"/>
  <c r="AP18" i="2" l="1"/>
  <c r="AQ18" i="2" s="1"/>
  <c r="AV18" i="2" s="1"/>
  <c r="AW18" i="2" s="1"/>
  <c r="AP21" i="2"/>
  <c r="AQ21" i="2" s="1"/>
  <c r="AV21" i="2" s="1"/>
  <c r="AU28" i="2"/>
  <c r="AP22" i="2"/>
  <c r="AP23" i="2"/>
  <c r="AP24" i="2"/>
  <c r="AP25" i="2"/>
  <c r="AP26" i="2"/>
  <c r="AP7" i="2"/>
  <c r="AP8" i="2"/>
  <c r="AP10" i="2"/>
  <c r="AP11" i="2"/>
  <c r="AP13" i="2"/>
  <c r="AP16" i="2"/>
  <c r="AP17" i="2"/>
  <c r="AP9" i="2"/>
  <c r="AP14" i="2"/>
  <c r="AP15" i="2"/>
  <c r="AP19" i="2"/>
  <c r="AN28" i="2"/>
  <c r="AP27" i="2"/>
  <c r="AP12" i="2"/>
  <c r="AP20" i="2"/>
  <c r="AO5" i="2"/>
  <c r="F28" i="2"/>
  <c r="O28" i="2" s="1"/>
  <c r="AO28" i="2" l="1"/>
  <c r="AP5" i="2"/>
  <c r="AQ26" i="2"/>
  <c r="AV26" i="2" s="1"/>
  <c r="AW26" i="2" s="1"/>
  <c r="AQ25" i="2"/>
  <c r="AV25" i="2" s="1"/>
  <c r="AW25" i="2" s="1"/>
  <c r="AQ24" i="2"/>
  <c r="AV24" i="2" s="1"/>
  <c r="AW24" i="2" s="1"/>
  <c r="AQ22" i="2"/>
  <c r="AV22" i="2" s="1"/>
  <c r="AW22" i="2" s="1"/>
  <c r="AW21" i="2"/>
  <c r="AV6" i="2"/>
  <c r="AW6" i="2" s="1"/>
  <c r="AQ10" i="2"/>
  <c r="AV10" i="2" s="1"/>
  <c r="AW10" i="2" s="1"/>
  <c r="AQ7" i="2"/>
  <c r="AV7" i="2" s="1"/>
  <c r="AW7" i="2" s="1"/>
  <c r="AQ8" i="2"/>
  <c r="AV8" i="2" s="1"/>
  <c r="AW8" i="2" s="1"/>
  <c r="AQ9" i="2"/>
  <c r="AV9" i="2" s="1"/>
  <c r="AW9" i="2" s="1"/>
  <c r="AQ16" i="2"/>
  <c r="AV16" i="2" s="1"/>
  <c r="AW16" i="2" s="1"/>
  <c r="AQ17" i="2"/>
  <c r="AV17" i="2" s="1"/>
  <c r="AW17" i="2" s="1"/>
  <c r="AQ20" i="2"/>
  <c r="AV20" i="2" s="1"/>
  <c r="AW20" i="2" s="1"/>
  <c r="AQ12" i="2"/>
  <c r="AV12" i="2" s="1"/>
  <c r="AW12" i="2" s="1"/>
  <c r="AQ19" i="2"/>
  <c r="AV19" i="2" s="1"/>
  <c r="AW19" i="2" s="1"/>
  <c r="AQ13" i="2"/>
  <c r="AV13" i="2" s="1"/>
  <c r="AW13" i="2" s="1"/>
  <c r="AQ27" i="2"/>
  <c r="AV27" i="2" s="1"/>
  <c r="AW27" i="2" s="1"/>
  <c r="AQ15" i="2"/>
  <c r="AV15" i="2" s="1"/>
  <c r="AW15" i="2" s="1"/>
  <c r="AQ23" i="2"/>
  <c r="AV23" i="2" s="1"/>
  <c r="AW23" i="2" s="1"/>
  <c r="AQ14" i="2"/>
  <c r="AV14" i="2" s="1"/>
  <c r="AW14" i="2" s="1"/>
  <c r="AQ11" i="2"/>
  <c r="AV11" i="2" s="1"/>
  <c r="AW11" i="2" s="1"/>
  <c r="AP28" i="2" l="1"/>
  <c r="AQ5" i="2"/>
  <c r="AV5" i="2" s="1"/>
  <c r="AW5" i="2" s="1"/>
  <c r="AV28" i="2" l="1"/>
  <c r="AW28" i="2" s="1"/>
  <c r="AQ28" i="2"/>
</calcChain>
</file>

<file path=xl/comments1.xml><?xml version="1.0" encoding="utf-8"?>
<comments xmlns="http://schemas.openxmlformats.org/spreadsheetml/2006/main">
  <authors>
    <author>cvpa0102</author>
  </authors>
  <commentList>
    <comment ref="AW8" authorId="0" shapeId="0">
      <text>
        <r>
          <rPr>
            <b/>
            <sz val="12"/>
            <color indexed="81"/>
            <rFont val="Tahoma"/>
            <family val="2"/>
          </rPr>
          <t>cvpa0102:</t>
        </r>
        <r>
          <rPr>
            <sz val="12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細明體"/>
            <family val="3"/>
            <charset val="136"/>
          </rPr>
          <t>截至</t>
        </r>
        <r>
          <rPr>
            <sz val="12"/>
            <color indexed="81"/>
            <rFont val="Tahoma"/>
            <family val="2"/>
          </rPr>
          <t>9</t>
        </r>
        <r>
          <rPr>
            <sz val="12"/>
            <color indexed="81"/>
            <rFont val="細明體"/>
            <family val="3"/>
            <charset val="136"/>
          </rPr>
          <t>月底止</t>
        </r>
        <r>
          <rPr>
            <sz val="12"/>
            <color indexed="81"/>
            <rFont val="Tahoma"/>
            <family val="2"/>
          </rPr>
          <t>(323745))</t>
        </r>
        <r>
          <rPr>
            <sz val="12"/>
            <color indexed="81"/>
            <rFont val="細明體"/>
            <family val="3"/>
            <charset val="136"/>
          </rPr>
          <t>與存摺</t>
        </r>
        <r>
          <rPr>
            <sz val="12"/>
            <color indexed="81"/>
            <rFont val="Tahoma"/>
            <family val="2"/>
          </rPr>
          <t>323745</t>
        </r>
        <r>
          <rPr>
            <sz val="12"/>
            <color indexed="81"/>
            <rFont val="細明體"/>
            <family val="3"/>
            <charset val="136"/>
          </rPr>
          <t>元差異</t>
        </r>
        <r>
          <rPr>
            <sz val="12"/>
            <color indexed="81"/>
            <rFont val="Tahoma"/>
            <family val="2"/>
          </rPr>
          <t>30000</t>
        </r>
        <r>
          <rPr>
            <sz val="12"/>
            <color indexed="81"/>
            <rFont val="細明體"/>
            <family val="3"/>
            <charset val="136"/>
          </rPr>
          <t>元係提撥額定零用金使用。</t>
        </r>
      </text>
    </comment>
    <comment ref="AW9" authorId="0" shapeId="0">
      <text>
        <r>
          <rPr>
            <b/>
            <sz val="12"/>
            <color indexed="81"/>
            <rFont val="Tahoma"/>
            <family val="2"/>
          </rPr>
          <t>cvpa0102:</t>
        </r>
        <r>
          <rPr>
            <sz val="12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細明體"/>
            <family val="3"/>
            <charset val="136"/>
          </rPr>
          <t>截至</t>
        </r>
        <r>
          <rPr>
            <sz val="12"/>
            <color indexed="81"/>
            <rFont val="Tahoma"/>
            <family val="2"/>
          </rPr>
          <t>9</t>
        </r>
        <r>
          <rPr>
            <sz val="12"/>
            <color indexed="81"/>
            <rFont val="細明體"/>
            <family val="3"/>
            <charset val="136"/>
          </rPr>
          <t>月底止</t>
        </r>
        <r>
          <rPr>
            <sz val="12"/>
            <color indexed="81"/>
            <rFont val="Tahoma"/>
            <family val="2"/>
          </rPr>
          <t>(509851)</t>
        </r>
        <r>
          <rPr>
            <sz val="12"/>
            <color indexed="81"/>
            <rFont val="細明體"/>
            <family val="3"/>
            <charset val="136"/>
          </rPr>
          <t>與存摺</t>
        </r>
        <r>
          <rPr>
            <sz val="12"/>
            <color indexed="81"/>
            <rFont val="Tahoma"/>
            <family val="2"/>
          </rPr>
          <t>489,851</t>
        </r>
        <r>
          <rPr>
            <sz val="12"/>
            <color indexed="81"/>
            <rFont val="細明體"/>
            <family val="3"/>
            <charset val="136"/>
          </rPr>
          <t>元差異</t>
        </r>
        <r>
          <rPr>
            <sz val="12"/>
            <color indexed="81"/>
            <rFont val="Tahoma"/>
            <family val="2"/>
          </rPr>
          <t>20000</t>
        </r>
        <r>
          <rPr>
            <sz val="12"/>
            <color indexed="81"/>
            <rFont val="細明體"/>
            <family val="3"/>
            <charset val="136"/>
          </rPr>
          <t>元係提撥額定零用金使用。</t>
        </r>
      </text>
    </comment>
    <comment ref="AW10" authorId="0" shapeId="0">
      <text>
        <r>
          <rPr>
            <b/>
            <sz val="12"/>
            <color indexed="81"/>
            <rFont val="Tahoma"/>
            <family val="2"/>
          </rPr>
          <t>cvpa0102:</t>
        </r>
        <r>
          <rPr>
            <sz val="12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細明體"/>
            <family val="3"/>
            <charset val="136"/>
          </rPr>
          <t>截至</t>
        </r>
        <r>
          <rPr>
            <sz val="12"/>
            <color indexed="81"/>
            <rFont val="Tahoma"/>
            <family val="2"/>
          </rPr>
          <t>9</t>
        </r>
        <r>
          <rPr>
            <sz val="12"/>
            <color indexed="81"/>
            <rFont val="細明體"/>
            <family val="3"/>
            <charset val="136"/>
          </rPr>
          <t>月底止</t>
        </r>
        <r>
          <rPr>
            <sz val="12"/>
            <color indexed="81"/>
            <rFont val="Tahoma"/>
            <family val="2"/>
          </rPr>
          <t>(172083)</t>
        </r>
        <r>
          <rPr>
            <sz val="12"/>
            <color indexed="81"/>
            <rFont val="細明體"/>
            <family val="3"/>
            <charset val="136"/>
          </rPr>
          <t>與存摺</t>
        </r>
        <r>
          <rPr>
            <sz val="12"/>
            <color indexed="81"/>
            <rFont val="Tahoma"/>
            <family val="2"/>
          </rPr>
          <t>162083</t>
        </r>
        <r>
          <rPr>
            <sz val="12"/>
            <color indexed="81"/>
            <rFont val="細明體"/>
            <family val="3"/>
            <charset val="136"/>
          </rPr>
          <t>元差異</t>
        </r>
        <r>
          <rPr>
            <sz val="12"/>
            <color indexed="81"/>
            <rFont val="Tahoma"/>
            <family val="2"/>
          </rPr>
          <t>10000</t>
        </r>
        <r>
          <rPr>
            <sz val="12"/>
            <color indexed="81"/>
            <rFont val="細明體"/>
            <family val="3"/>
            <charset val="136"/>
          </rPr>
          <t>元係提撥額定零用金使用。</t>
        </r>
      </text>
    </comment>
    <comment ref="AW12" authorId="0" shapeId="0">
      <text>
        <r>
          <rPr>
            <b/>
            <sz val="12"/>
            <color indexed="81"/>
            <rFont val="Tahoma"/>
            <family val="2"/>
          </rPr>
          <t>cvpa0102:</t>
        </r>
        <r>
          <rPr>
            <sz val="12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細明體"/>
            <family val="3"/>
            <charset val="136"/>
          </rPr>
          <t>截至</t>
        </r>
        <r>
          <rPr>
            <sz val="12"/>
            <color indexed="81"/>
            <rFont val="Tahoma"/>
            <family val="2"/>
          </rPr>
          <t>9</t>
        </r>
        <r>
          <rPr>
            <sz val="12"/>
            <color indexed="81"/>
            <rFont val="細明體"/>
            <family val="3"/>
            <charset val="136"/>
          </rPr>
          <t>月底止</t>
        </r>
        <r>
          <rPr>
            <sz val="12"/>
            <color indexed="81"/>
            <rFont val="Tahoma"/>
            <family val="2"/>
          </rPr>
          <t>(216814)</t>
        </r>
        <r>
          <rPr>
            <sz val="12"/>
            <color indexed="81"/>
            <rFont val="細明體"/>
            <family val="3"/>
            <charset val="136"/>
          </rPr>
          <t>與存摺</t>
        </r>
        <r>
          <rPr>
            <sz val="12"/>
            <color indexed="81"/>
            <rFont val="Tahoma"/>
            <family val="2"/>
          </rPr>
          <t>166814</t>
        </r>
        <r>
          <rPr>
            <sz val="12"/>
            <color indexed="81"/>
            <rFont val="細明體"/>
            <family val="3"/>
            <charset val="136"/>
          </rPr>
          <t>元差異</t>
        </r>
        <r>
          <rPr>
            <sz val="12"/>
            <color indexed="81"/>
            <rFont val="Tahoma"/>
            <family val="2"/>
          </rPr>
          <t>50000</t>
        </r>
        <r>
          <rPr>
            <sz val="12"/>
            <color indexed="81"/>
            <rFont val="細明體"/>
            <family val="3"/>
            <charset val="136"/>
          </rPr>
          <t>元係提撥額定零用金使用。</t>
        </r>
      </text>
    </comment>
    <comment ref="AW13" authorId="0" shapeId="0">
      <text>
        <r>
          <rPr>
            <b/>
            <sz val="12"/>
            <color indexed="81"/>
            <rFont val="Tahoma"/>
            <family val="2"/>
          </rPr>
          <t>cvpa0102:</t>
        </r>
        <r>
          <rPr>
            <sz val="12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細明體"/>
            <family val="3"/>
            <charset val="136"/>
          </rPr>
          <t>截至</t>
        </r>
        <r>
          <rPr>
            <sz val="12"/>
            <color indexed="81"/>
            <rFont val="Tahoma"/>
            <family val="2"/>
          </rPr>
          <t>9</t>
        </r>
        <r>
          <rPr>
            <sz val="12"/>
            <color indexed="81"/>
            <rFont val="細明體"/>
            <family val="3"/>
            <charset val="136"/>
          </rPr>
          <t>月底止</t>
        </r>
        <r>
          <rPr>
            <sz val="12"/>
            <color indexed="81"/>
            <rFont val="Tahoma"/>
            <family val="2"/>
          </rPr>
          <t>(353468)</t>
        </r>
        <r>
          <rPr>
            <sz val="12"/>
            <color indexed="81"/>
            <rFont val="細明體"/>
            <family val="3"/>
            <charset val="136"/>
          </rPr>
          <t>與存摺</t>
        </r>
        <r>
          <rPr>
            <sz val="12"/>
            <color indexed="81"/>
            <rFont val="Tahoma"/>
            <family val="2"/>
          </rPr>
          <t>147968</t>
        </r>
        <r>
          <rPr>
            <sz val="12"/>
            <color indexed="81"/>
            <rFont val="細明體"/>
            <family val="3"/>
            <charset val="136"/>
          </rPr>
          <t>元差異</t>
        </r>
        <r>
          <rPr>
            <sz val="12"/>
            <color indexed="81"/>
            <rFont val="Tahoma"/>
            <family val="2"/>
          </rPr>
          <t>205500</t>
        </r>
        <r>
          <rPr>
            <sz val="12"/>
            <color indexed="81"/>
            <rFont val="細明體"/>
            <family val="3"/>
            <charset val="136"/>
          </rPr>
          <t>元係以列計10月份撥付內部往來之經費。</t>
        </r>
      </text>
    </comment>
    <comment ref="AW14" authorId="0" shapeId="0">
      <text>
        <r>
          <rPr>
            <b/>
            <sz val="9"/>
            <color indexed="81"/>
            <rFont val="Tahoma"/>
            <family val="2"/>
          </rPr>
          <t>cvpa0102: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截至</t>
        </r>
        <r>
          <rPr>
            <sz val="9"/>
            <color indexed="81"/>
            <rFont val="Tahoma"/>
            <family val="2"/>
          </rPr>
          <t>9</t>
        </r>
        <r>
          <rPr>
            <sz val="9"/>
            <color indexed="81"/>
            <rFont val="細明體"/>
            <family val="3"/>
            <charset val="136"/>
          </rPr>
          <t>月底止(133261)與存摺123261元差異1</t>
        </r>
        <r>
          <rPr>
            <sz val="9"/>
            <color indexed="81"/>
            <rFont val="Tahoma"/>
            <family val="2"/>
          </rPr>
          <t>0000</t>
        </r>
        <r>
          <rPr>
            <sz val="9"/>
            <color indexed="81"/>
            <rFont val="細明體"/>
            <family val="3"/>
            <charset val="136"/>
          </rPr>
          <t>元係提撥額定零用金使用。</t>
        </r>
      </text>
    </comment>
    <comment ref="AW15" authorId="0" shapeId="0">
      <text>
        <r>
          <rPr>
            <b/>
            <sz val="12"/>
            <color indexed="81"/>
            <rFont val="Tahoma"/>
            <family val="2"/>
          </rPr>
          <t>cvpa0102:</t>
        </r>
        <r>
          <rPr>
            <sz val="12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細明體"/>
            <family val="3"/>
            <charset val="136"/>
          </rPr>
          <t>截至</t>
        </r>
        <r>
          <rPr>
            <sz val="12"/>
            <color indexed="81"/>
            <rFont val="Tahoma"/>
            <family val="2"/>
          </rPr>
          <t>9</t>
        </r>
        <r>
          <rPr>
            <sz val="12"/>
            <color indexed="81"/>
            <rFont val="細明體"/>
            <family val="3"/>
            <charset val="136"/>
          </rPr>
          <t>月底止(138838))與存摺128838元差異1</t>
        </r>
        <r>
          <rPr>
            <sz val="12"/>
            <color indexed="81"/>
            <rFont val="Tahoma"/>
            <family val="2"/>
          </rPr>
          <t>0000</t>
        </r>
        <r>
          <rPr>
            <sz val="12"/>
            <color indexed="81"/>
            <rFont val="細明體"/>
            <family val="3"/>
            <charset val="136"/>
          </rPr>
          <t>元係提撥額定零用金使用。</t>
        </r>
      </text>
    </comment>
    <comment ref="AP17" authorId="0" shapeId="0">
      <text>
        <r>
          <rPr>
            <b/>
            <sz val="9"/>
            <color indexed="81"/>
            <rFont val="Tahoma"/>
            <family val="2"/>
          </rPr>
          <t>cvpa0102:</t>
        </r>
        <r>
          <rPr>
            <sz val="9"/>
            <color indexed="81"/>
            <rFont val="Tahoma"/>
            <family val="2"/>
          </rPr>
          <t xml:space="preserve">
109/4</t>
        </r>
        <r>
          <rPr>
            <sz val="9"/>
            <color indexed="81"/>
            <rFont val="細明體"/>
            <family val="3"/>
            <charset val="136"/>
          </rPr>
          <t>支出</t>
        </r>
      </text>
    </comment>
    <comment ref="AW18" authorId="0" shapeId="0">
      <text>
        <r>
          <rPr>
            <b/>
            <sz val="12"/>
            <color indexed="81"/>
            <rFont val="Tahoma"/>
            <family val="2"/>
          </rPr>
          <t>cvpa0102:</t>
        </r>
        <r>
          <rPr>
            <sz val="12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細明體"/>
            <family val="3"/>
            <charset val="136"/>
          </rPr>
          <t>截至</t>
        </r>
        <r>
          <rPr>
            <sz val="12"/>
            <color indexed="81"/>
            <rFont val="Tahoma"/>
            <family val="2"/>
          </rPr>
          <t>9</t>
        </r>
        <r>
          <rPr>
            <sz val="12"/>
            <color indexed="81"/>
            <rFont val="細明體"/>
            <family val="3"/>
            <charset val="136"/>
          </rPr>
          <t>月底止</t>
        </r>
        <r>
          <rPr>
            <sz val="12"/>
            <color indexed="81"/>
            <rFont val="Tahoma"/>
            <family val="2"/>
          </rPr>
          <t>(1055073))</t>
        </r>
        <r>
          <rPr>
            <sz val="12"/>
            <color indexed="81"/>
            <rFont val="細明體"/>
            <family val="3"/>
            <charset val="136"/>
          </rPr>
          <t>與存摺1025073元差異3</t>
        </r>
        <r>
          <rPr>
            <sz val="12"/>
            <color indexed="81"/>
            <rFont val="Tahoma"/>
            <family val="2"/>
          </rPr>
          <t>0000</t>
        </r>
        <r>
          <rPr>
            <sz val="12"/>
            <color indexed="81"/>
            <rFont val="細明體"/>
            <family val="3"/>
            <charset val="136"/>
          </rPr>
          <t>元係提撥額定零用金使用。</t>
        </r>
      </text>
    </comment>
    <comment ref="AW19" authorId="0" shapeId="0">
      <text>
        <r>
          <rPr>
            <b/>
            <sz val="12"/>
            <color indexed="81"/>
            <rFont val="Tahoma"/>
            <family val="2"/>
          </rPr>
          <t>cvpa0102:</t>
        </r>
        <r>
          <rPr>
            <sz val="12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細明體"/>
            <family val="3"/>
            <charset val="136"/>
          </rPr>
          <t>截至</t>
        </r>
        <r>
          <rPr>
            <sz val="12"/>
            <color indexed="81"/>
            <rFont val="Tahoma"/>
            <family val="2"/>
          </rPr>
          <t>9</t>
        </r>
        <r>
          <rPr>
            <sz val="12"/>
            <color indexed="81"/>
            <rFont val="細明體"/>
            <family val="3"/>
            <charset val="136"/>
          </rPr>
          <t>月底止</t>
        </r>
        <r>
          <rPr>
            <sz val="12"/>
            <color indexed="81"/>
            <rFont val="Tahoma"/>
            <family val="2"/>
          </rPr>
          <t>(1355620)</t>
        </r>
        <r>
          <rPr>
            <sz val="12"/>
            <color indexed="81"/>
            <rFont val="細明體"/>
            <family val="3"/>
            <charset val="136"/>
          </rPr>
          <t>與存摺</t>
        </r>
        <r>
          <rPr>
            <sz val="12"/>
            <color indexed="81"/>
            <rFont val="Tahoma"/>
            <family val="2"/>
          </rPr>
          <t>1148070</t>
        </r>
        <r>
          <rPr>
            <sz val="12"/>
            <color indexed="81"/>
            <rFont val="細明體"/>
            <family val="3"/>
            <charset val="136"/>
          </rPr>
          <t>元差異</t>
        </r>
        <r>
          <rPr>
            <sz val="12"/>
            <color indexed="81"/>
            <rFont val="Tahoma"/>
            <family val="2"/>
          </rPr>
          <t>207550</t>
        </r>
        <r>
          <rPr>
            <sz val="12"/>
            <color indexed="81"/>
            <rFont val="細明體"/>
            <family val="3"/>
            <charset val="136"/>
          </rPr>
          <t>元係提撥額定零用金</t>
        </r>
        <r>
          <rPr>
            <sz val="12"/>
            <color indexed="81"/>
            <rFont val="Tahoma"/>
            <family val="2"/>
          </rPr>
          <t>20000</t>
        </r>
        <r>
          <rPr>
            <sz val="12"/>
            <color indexed="81"/>
            <rFont val="細明體"/>
            <family val="3"/>
            <charset val="136"/>
          </rPr>
          <t>使用及短墊163550及以列計10月份撥付之內部往來款24000元。</t>
        </r>
      </text>
    </comment>
    <comment ref="AW21" authorId="0" shapeId="0">
      <text>
        <r>
          <rPr>
            <b/>
            <sz val="12"/>
            <color indexed="81"/>
            <rFont val="Tahoma"/>
            <family val="2"/>
          </rPr>
          <t>cvpa0102:</t>
        </r>
        <r>
          <rPr>
            <sz val="12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細明體"/>
            <family val="3"/>
            <charset val="136"/>
          </rPr>
          <t>截至</t>
        </r>
        <r>
          <rPr>
            <sz val="12"/>
            <color indexed="81"/>
            <rFont val="Tahoma"/>
            <family val="2"/>
          </rPr>
          <t>9</t>
        </r>
        <r>
          <rPr>
            <sz val="12"/>
            <color indexed="81"/>
            <rFont val="細明體"/>
            <family val="3"/>
            <charset val="136"/>
          </rPr>
          <t>月底止</t>
        </r>
        <r>
          <rPr>
            <sz val="12"/>
            <color indexed="81"/>
            <rFont val="Tahoma"/>
            <family val="2"/>
          </rPr>
          <t>(163444)</t>
        </r>
        <r>
          <rPr>
            <sz val="12"/>
            <color indexed="81"/>
            <rFont val="細明體"/>
            <family val="3"/>
            <charset val="136"/>
          </rPr>
          <t>與存摺</t>
        </r>
        <r>
          <rPr>
            <sz val="12"/>
            <color indexed="81"/>
            <rFont val="Tahoma"/>
            <family val="2"/>
          </rPr>
          <t>143444</t>
        </r>
        <r>
          <rPr>
            <sz val="12"/>
            <color indexed="81"/>
            <rFont val="細明體"/>
            <family val="3"/>
            <charset val="136"/>
          </rPr>
          <t>元差異1</t>
        </r>
        <r>
          <rPr>
            <sz val="12"/>
            <color indexed="81"/>
            <rFont val="Tahoma"/>
            <family val="2"/>
          </rPr>
          <t>0000</t>
        </r>
        <r>
          <rPr>
            <sz val="12"/>
            <color indexed="81"/>
            <rFont val="細明體"/>
            <family val="3"/>
            <charset val="136"/>
          </rPr>
          <t>元係提撥額定零用金使用。</t>
        </r>
      </text>
    </comment>
    <comment ref="AW27" authorId="0" shapeId="0">
      <text>
        <r>
          <rPr>
            <b/>
            <sz val="12"/>
            <color indexed="81"/>
            <rFont val="Tahoma"/>
            <family val="2"/>
          </rPr>
          <t>cvpa0102:</t>
        </r>
        <r>
          <rPr>
            <sz val="12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細明體"/>
            <family val="3"/>
            <charset val="136"/>
          </rPr>
          <t>截至</t>
        </r>
        <r>
          <rPr>
            <sz val="12"/>
            <color indexed="81"/>
            <rFont val="Tahoma"/>
            <family val="2"/>
          </rPr>
          <t>9</t>
        </r>
        <r>
          <rPr>
            <sz val="12"/>
            <color indexed="81"/>
            <rFont val="細明體"/>
            <family val="3"/>
            <charset val="136"/>
          </rPr>
          <t>月底止</t>
        </r>
        <r>
          <rPr>
            <sz val="12"/>
            <color indexed="81"/>
            <rFont val="Tahoma"/>
            <family val="2"/>
          </rPr>
          <t>(164809)</t>
        </r>
        <r>
          <rPr>
            <sz val="12"/>
            <color indexed="81"/>
            <rFont val="細明體"/>
            <family val="3"/>
            <charset val="136"/>
          </rPr>
          <t>與存摺154809元差異1</t>
        </r>
        <r>
          <rPr>
            <sz val="12"/>
            <color indexed="81"/>
            <rFont val="Tahoma"/>
            <family val="2"/>
          </rPr>
          <t>0000</t>
        </r>
        <r>
          <rPr>
            <sz val="12"/>
            <color indexed="81"/>
            <rFont val="細明體"/>
            <family val="3"/>
            <charset val="136"/>
          </rPr>
          <t>元係提撥額定零用金使用。</t>
        </r>
      </text>
    </comment>
    <comment ref="O28" authorId="0" shapeId="0">
      <text>
        <r>
          <rPr>
            <b/>
            <sz val="11"/>
            <color indexed="81"/>
            <rFont val="Tahoma"/>
            <family val="2"/>
          </rPr>
          <t>cvpa0102:</t>
        </r>
        <r>
          <rPr>
            <sz val="11"/>
            <color indexed="81"/>
            <rFont val="Tahoma"/>
            <family val="2"/>
          </rPr>
          <t xml:space="preserve">
1.108</t>
        </r>
        <r>
          <rPr>
            <sz val="11"/>
            <color indexed="81"/>
            <rFont val="細明體"/>
            <family val="3"/>
            <charset val="136"/>
          </rPr>
          <t>年度中核撥給所屬各分會之經費總額計16626521元</t>
        </r>
      </text>
    </comment>
  </commentList>
</comments>
</file>

<file path=xl/comments2.xml><?xml version="1.0" encoding="utf-8"?>
<comments xmlns="http://schemas.openxmlformats.org/spreadsheetml/2006/main">
  <authors>
    <author>cvpa0102</author>
  </authors>
  <commentList>
    <comment ref="C9" authorId="0" shapeId="0">
      <text>
        <r>
          <rPr>
            <b/>
            <sz val="9"/>
            <color indexed="81"/>
            <rFont val="Tahoma"/>
            <family val="2"/>
          </rPr>
          <t>cvpa0102:</t>
        </r>
        <r>
          <rPr>
            <sz val="9"/>
            <color indexed="81"/>
            <rFont val="Tahoma"/>
            <family val="2"/>
          </rPr>
          <t xml:space="preserve">
14711</t>
        </r>
        <r>
          <rPr>
            <sz val="9"/>
            <color indexed="81"/>
            <rFont val="細明體"/>
            <family val="3"/>
            <charset val="136"/>
          </rPr>
          <t>元(</t>
        </r>
        <r>
          <rPr>
            <sz val="9"/>
            <color indexed="81"/>
            <rFont val="Tahoma"/>
            <family val="2"/>
          </rPr>
          <t>10/4</t>
        </r>
        <r>
          <rPr>
            <sz val="9"/>
            <color indexed="81"/>
            <rFont val="細明體"/>
            <family val="3"/>
            <charset val="136"/>
          </rPr>
          <t>月份結清帳戶時之孳息)+6552元
(6月)+17926(12月)</t>
        </r>
      </text>
    </comment>
    <comment ref="E15" authorId="0" shapeId="0">
      <text>
        <r>
          <rPr>
            <b/>
            <sz val="9"/>
            <color indexed="81"/>
            <rFont val="Tahoma"/>
            <family val="2"/>
          </rPr>
          <t>cvpa0102: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已含應付費用數</t>
        </r>
        <r>
          <rPr>
            <sz val="9"/>
            <color indexed="81"/>
            <rFont val="Tahoma"/>
            <family val="2"/>
          </rPr>
          <t>4000</t>
        </r>
        <r>
          <rPr>
            <sz val="9"/>
            <color indexed="81"/>
            <rFont val="細明體"/>
            <family val="3"/>
            <charset val="136"/>
          </rPr>
          <t>元</t>
        </r>
      </text>
    </comment>
    <comment ref="F15" authorId="0" shapeId="0">
      <text>
        <r>
          <rPr>
            <b/>
            <sz val="9"/>
            <color indexed="81"/>
            <rFont val="Tahoma"/>
            <family val="2"/>
          </rPr>
          <t>cvpa0102: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已含
1.預估應付費用數7532056元
2.應收款項36元(收回麗焱薪資差額)
總會估列應付費用計7,536,056元
如下:
1.12月二代健保12,000元(估)
2.12月勞保費190,000元(估)
3.12月健保費120,000元(估)
4.12月勞退新制155,000元(估)
5.12月電話費40,000元(估_保4,000+業36,000)
6.會計師查核費280,000元(實)
7.年終獎金358,5103元(實)
8.考績獎金2,157,600元(估)
9.不休假加班費922,503元(估)
10.康大公文系統維護費73,850元(估)</t>
        </r>
      </text>
    </comment>
    <comment ref="O15" authorId="0" shapeId="0">
      <text>
        <r>
          <rPr>
            <b/>
            <sz val="10"/>
            <color indexed="81"/>
            <rFont val="Tahoma"/>
            <family val="2"/>
          </rPr>
          <t>cvpa0102: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細明體"/>
            <family val="3"/>
            <charset val="136"/>
          </rPr>
          <t>截至</t>
        </r>
        <r>
          <rPr>
            <sz val="10"/>
            <color indexed="81"/>
            <rFont val="Tahoma"/>
            <family val="2"/>
          </rPr>
          <t>109</t>
        </r>
        <r>
          <rPr>
            <sz val="10"/>
            <color indexed="81"/>
            <rFont val="細明體"/>
            <family val="3"/>
            <charset val="136"/>
          </rPr>
          <t>年</t>
        </r>
        <r>
          <rPr>
            <sz val="10"/>
            <color indexed="81"/>
            <rFont val="Tahoma"/>
            <family val="2"/>
          </rPr>
          <t>1</t>
        </r>
        <r>
          <rPr>
            <sz val="10"/>
            <color indexed="81"/>
            <rFont val="細明體"/>
            <family val="3"/>
            <charset val="136"/>
          </rPr>
          <t xml:space="preserve">月6日止繳回1,793,627元(109年1,789,224元+110年1月6日前屏東4,403元)，分述如下：
　(1)利  息：8,479元
  (2)結餘款：1,785,148元(109年1,780,745元+110年1月7日前屏東4,033元)
</t>
        </r>
      </text>
    </comment>
    <comment ref="P16" authorId="0" shapeId="0">
      <text>
        <r>
          <rPr>
            <b/>
            <sz val="9"/>
            <color indexed="81"/>
            <rFont val="Tahoma"/>
            <family val="2"/>
          </rPr>
          <t>cvpa0102: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109年度短絀1864353元</t>
        </r>
      </text>
    </comment>
  </commentList>
</comments>
</file>

<file path=xl/sharedStrings.xml><?xml version="1.0" encoding="utf-8"?>
<sst xmlns="http://schemas.openxmlformats.org/spreadsheetml/2006/main" count="493" uniqueCount="179">
  <si>
    <t>總會</t>
    <phoneticPr fontId="2" type="noConversion"/>
  </si>
  <si>
    <t>士林</t>
    <phoneticPr fontId="2" type="noConversion"/>
  </si>
  <si>
    <t>新北</t>
    <phoneticPr fontId="2" type="noConversion"/>
  </si>
  <si>
    <t>桃園</t>
    <phoneticPr fontId="2" type="noConversion"/>
  </si>
  <si>
    <t>新竹</t>
    <phoneticPr fontId="2" type="noConversion"/>
  </si>
  <si>
    <t>苗栗</t>
    <phoneticPr fontId="2" type="noConversion"/>
  </si>
  <si>
    <t>南投</t>
    <phoneticPr fontId="2" type="noConversion"/>
  </si>
  <si>
    <t>彰化</t>
    <phoneticPr fontId="2" type="noConversion"/>
  </si>
  <si>
    <t>雲林</t>
    <phoneticPr fontId="2" type="noConversion"/>
  </si>
  <si>
    <t>嘉義</t>
    <phoneticPr fontId="2" type="noConversion"/>
  </si>
  <si>
    <t>臺南</t>
    <phoneticPr fontId="2" type="noConversion"/>
  </si>
  <si>
    <t>高雄</t>
    <phoneticPr fontId="2" type="noConversion"/>
  </si>
  <si>
    <t>屏東</t>
    <phoneticPr fontId="2" type="noConversion"/>
  </si>
  <si>
    <t>臺東</t>
    <phoneticPr fontId="2" type="noConversion"/>
  </si>
  <si>
    <t>花蓮</t>
    <phoneticPr fontId="2" type="noConversion"/>
  </si>
  <si>
    <t>宜蘭</t>
    <phoneticPr fontId="2" type="noConversion"/>
  </si>
  <si>
    <t>基隆</t>
    <phoneticPr fontId="2" type="noConversion"/>
  </si>
  <si>
    <t>澎湖</t>
    <phoneticPr fontId="2" type="noConversion"/>
  </si>
  <si>
    <t>金門</t>
    <phoneticPr fontId="2" type="noConversion"/>
  </si>
  <si>
    <t>連江</t>
    <phoneticPr fontId="2" type="noConversion"/>
  </si>
  <si>
    <t>橋頭</t>
    <phoneticPr fontId="2" type="noConversion"/>
  </si>
  <si>
    <t>1月份</t>
    <phoneticPr fontId="2" type="noConversion"/>
  </si>
  <si>
    <t>2月份</t>
  </si>
  <si>
    <t>3月份</t>
  </si>
  <si>
    <t>4月份</t>
  </si>
  <si>
    <t>5月份</t>
  </si>
  <si>
    <t>6月份</t>
  </si>
  <si>
    <t>7月份</t>
  </si>
  <si>
    <t>8月份</t>
  </si>
  <si>
    <t>9月份</t>
  </si>
  <si>
    <t>10月份</t>
  </si>
  <si>
    <t>11月份</t>
  </si>
  <si>
    <t>12月份</t>
  </si>
  <si>
    <t>年間</t>
    <phoneticPr fontId="2" type="noConversion"/>
  </si>
  <si>
    <t>年底</t>
    <phoneticPr fontId="2" type="noConversion"/>
  </si>
  <si>
    <t>結餘款</t>
    <phoneticPr fontId="2" type="noConversion"/>
  </si>
  <si>
    <t>利息</t>
    <phoneticPr fontId="2" type="noConversion"/>
  </si>
  <si>
    <t>小計</t>
    <phoneticPr fontId="2" type="noConversion"/>
  </si>
  <si>
    <t>臺北</t>
    <phoneticPr fontId="2" type="noConversion"/>
  </si>
  <si>
    <t>臺中</t>
    <phoneticPr fontId="2" type="noConversion"/>
  </si>
  <si>
    <t>無核撥</t>
    <phoneticPr fontId="2" type="noConversion"/>
  </si>
  <si>
    <t>行政費用(先撥)</t>
    <phoneticPr fontId="2" type="noConversion"/>
  </si>
  <si>
    <t>保護費用</t>
    <phoneticPr fontId="2" type="noConversion"/>
  </si>
  <si>
    <t>小計2</t>
    <phoneticPr fontId="2" type="noConversion"/>
  </si>
  <si>
    <t>小計1</t>
    <phoneticPr fontId="2" type="noConversion"/>
  </si>
  <si>
    <t>一、核撥各分會（內部往來，總會--&gt;分會）</t>
    <phoneticPr fontId="2" type="noConversion"/>
  </si>
  <si>
    <t>單位別</t>
    <phoneticPr fontId="2" type="noConversion"/>
  </si>
  <si>
    <t>1月</t>
    <phoneticPr fontId="2" type="noConversion"/>
  </si>
  <si>
    <t>業務費用
(不含折舊)</t>
    <phoneticPr fontId="2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</si>
  <si>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</si>
  <si>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</si>
  <si>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</si>
  <si>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</si>
  <si>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</si>
  <si>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</si>
  <si>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</si>
  <si>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</si>
  <si>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</si>
  <si>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</si>
  <si>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</si>
  <si>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小小計</t>
    <phoneticPr fontId="2" type="noConversion"/>
  </si>
  <si>
    <t>二、各單位經費支用情形</t>
    <phoneticPr fontId="2" type="noConversion"/>
  </si>
  <si>
    <t>三、結餘款</t>
    <phoneticPr fontId="2" type="noConversion"/>
  </si>
  <si>
    <t>四、繳回（內部往來，分會--&gt;總會）</t>
    <phoneticPr fontId="2" type="noConversion"/>
  </si>
  <si>
    <t>五、驗算</t>
    <phoneticPr fontId="2" type="noConversion"/>
  </si>
  <si>
    <t>利息
(6月21日)</t>
    <phoneticPr fontId="2" type="noConversion"/>
  </si>
  <si>
    <t>利息
(12月21日)</t>
    <phoneticPr fontId="2" type="noConversion"/>
  </si>
  <si>
    <t>差額</t>
    <phoneticPr fontId="2" type="noConversion"/>
  </si>
  <si>
    <t>三＆四之差異
(應等於利息收入數，則正確)</t>
    <phoneticPr fontId="2" type="noConversion"/>
  </si>
  <si>
    <t>帳列「應付費用」</t>
    <phoneticPr fontId="2" type="noConversion"/>
  </si>
  <si>
    <t>主任委員年終獎金</t>
    <phoneticPr fontId="2" type="noConversion"/>
  </si>
  <si>
    <t>水費
(~108.12.31)</t>
    <phoneticPr fontId="2" type="noConversion"/>
  </si>
  <si>
    <t>電費
(~108.12.31)</t>
    <phoneticPr fontId="2" type="noConversion"/>
  </si>
  <si>
    <t>電話費
(12月份)</t>
    <phoneticPr fontId="2" type="noConversion"/>
  </si>
  <si>
    <t>108(1)助學金</t>
    <phoneticPr fontId="2" type="noConversion"/>
  </si>
  <si>
    <t>郵費</t>
    <phoneticPr fontId="2" type="noConversion"/>
  </si>
  <si>
    <t>匯款手續費</t>
    <phoneticPr fontId="2" type="noConversion"/>
  </si>
  <si>
    <t>加班費</t>
    <phoneticPr fontId="2" type="noConversion"/>
  </si>
  <si>
    <t>影印計張費</t>
    <phoneticPr fontId="2" type="noConversion"/>
  </si>
  <si>
    <t>12月
(含估列之應付費用數)</t>
    <phoneticPr fontId="2" type="noConversion"/>
  </si>
  <si>
    <t>序號</t>
    <phoneticPr fontId="2" type="noConversion"/>
  </si>
  <si>
    <t>分會別</t>
    <phoneticPr fontId="2" type="noConversion"/>
  </si>
  <si>
    <t>日期</t>
    <phoneticPr fontId="2" type="noConversion"/>
  </si>
  <si>
    <t>繳回情形</t>
    <phoneticPr fontId="2" type="noConversion"/>
  </si>
  <si>
    <t>說明</t>
    <phoneticPr fontId="2" type="noConversion"/>
  </si>
  <si>
    <t>士林</t>
    <phoneticPr fontId="2" type="noConversion"/>
  </si>
  <si>
    <t>合計</t>
    <phoneticPr fontId="2" type="noConversion"/>
  </si>
  <si>
    <t>財團法人犯罪被害人保護協會
108年度核撥臺北等22分會地檢署補助(GV3) 經費
結餘款繳回情形(第一次)</t>
    <phoneticPr fontId="2" type="noConversion"/>
  </si>
  <si>
    <t>生育補助金</t>
    <phoneticPr fontId="2" type="noConversion"/>
  </si>
  <si>
    <t>電風扇等事務用品</t>
    <phoneticPr fontId="2" type="noConversion"/>
  </si>
  <si>
    <t>餐費</t>
    <phoneticPr fontId="2" type="noConversion"/>
  </si>
  <si>
    <t>12二代健保</t>
    <phoneticPr fontId="2" type="noConversion"/>
  </si>
  <si>
    <t>12月勞保費</t>
    <phoneticPr fontId="2" type="noConversion"/>
  </si>
  <si>
    <t>12月健保費</t>
    <phoneticPr fontId="2" type="noConversion"/>
  </si>
  <si>
    <t>12月勞退新制</t>
    <phoneticPr fontId="2" type="noConversion"/>
  </si>
  <si>
    <t>12月電話費</t>
    <phoneticPr fontId="2" type="noConversion"/>
  </si>
  <si>
    <t>不休假加班費</t>
    <phoneticPr fontId="2" type="noConversion"/>
  </si>
  <si>
    <t>考績獎金</t>
    <phoneticPr fontId="2" type="noConversion"/>
  </si>
  <si>
    <t>年終獎金</t>
    <phoneticPr fontId="2" type="noConversion"/>
  </si>
  <si>
    <t>收入數(總會)</t>
    <phoneticPr fontId="2" type="noConversion"/>
  </si>
  <si>
    <t>地檢署補助</t>
    <phoneticPr fontId="2" type="noConversion"/>
  </si>
  <si>
    <t>利息
(紀錄用)</t>
    <phoneticPr fontId="2" type="noConversion"/>
  </si>
  <si>
    <t>月份</t>
    <phoneticPr fontId="2" type="noConversion"/>
  </si>
  <si>
    <t>內部往來
(總會核撥分會)
(扣除結餘款繳回數應等於分會支出數，不含利息)</t>
    <phoneticPr fontId="2" type="noConversion"/>
  </si>
  <si>
    <t>一般行政費</t>
    <phoneticPr fontId="2" type="noConversion"/>
  </si>
  <si>
    <t>助學金</t>
    <phoneticPr fontId="2" type="noConversion"/>
  </si>
  <si>
    <t>分區志工訓練</t>
    <phoneticPr fontId="2" type="noConversion"/>
  </si>
  <si>
    <t>專案保護費用</t>
    <phoneticPr fontId="2" type="noConversion"/>
  </si>
  <si>
    <t>結婚等補助金</t>
    <phoneticPr fontId="2" type="noConversion"/>
  </si>
  <si>
    <t>表揚大會、音樂會、耶誕市集</t>
    <phoneticPr fontId="2" type="noConversion"/>
  </si>
  <si>
    <t>結餘款繳回</t>
    <phoneticPr fontId="2" type="noConversion"/>
  </si>
  <si>
    <t>總支出</t>
    <phoneticPr fontId="2" type="noConversion"/>
  </si>
  <si>
    <t>內部往來月支出數</t>
    <phoneticPr fontId="2" type="noConversion"/>
  </si>
  <si>
    <t>業務費用</t>
    <phoneticPr fontId="2" type="noConversion"/>
  </si>
  <si>
    <t>單位合計</t>
    <phoneticPr fontId="2" type="noConversion"/>
  </si>
  <si>
    <t>總會</t>
    <phoneticPr fontId="2" type="noConversion"/>
  </si>
  <si>
    <t>項目合計</t>
    <phoneticPr fontId="2" type="noConversion"/>
  </si>
  <si>
    <t>說       明</t>
    <phoneticPr fontId="2" type="noConversion"/>
  </si>
  <si>
    <t>補助經費收入</t>
    <phoneticPr fontId="2" type="noConversion"/>
  </si>
  <si>
    <t>支出數額</t>
    <phoneticPr fontId="2" type="noConversion"/>
  </si>
  <si>
    <t>賸餘款</t>
    <phoneticPr fontId="2" type="noConversion"/>
  </si>
  <si>
    <t xml:space="preserve">                      項目
  單位別</t>
    <phoneticPr fontId="2" type="noConversion"/>
  </si>
  <si>
    <t>自結之結餘款89,183元分兩次繳回：
1.108.12.30&gt;&gt;83,147元(含利息)；2.109.1.7&gt;&gt;6,036元</t>
    <phoneticPr fontId="2" type="noConversion"/>
  </si>
  <si>
    <t>管理費用</t>
    <phoneticPr fontId="2" type="noConversion"/>
  </si>
  <si>
    <t>合  計</t>
    <phoneticPr fontId="2" type="noConversion"/>
  </si>
  <si>
    <t>修正前
(即預估應付費用)
(結算賸餘款辦理第一次繳回)</t>
    <phoneticPr fontId="2" type="noConversion"/>
  </si>
  <si>
    <t>修正後
(即實列應付費用後)</t>
    <phoneticPr fontId="2" type="noConversion"/>
  </si>
  <si>
    <t>差異數
(需再繳回之結餘款)</t>
    <phoneticPr fontId="2" type="noConversion"/>
  </si>
  <si>
    <t>修正前&amp;後之差異</t>
    <phoneticPr fontId="2" type="noConversion"/>
  </si>
  <si>
    <t>繳回108年度地檢署補助
(紀錄用)</t>
    <phoneticPr fontId="2" type="noConversion"/>
  </si>
  <si>
    <t>臺北等20地檢署補助本會109年度之經費運用情形</t>
    <phoneticPr fontId="2" type="noConversion"/>
  </si>
  <si>
    <t>財團法人犯罪被害人保護協會109年度各地檢署補助經費運用情形表</t>
    <phoneticPr fontId="2" type="noConversion"/>
  </si>
  <si>
    <t>費用數(總會)</t>
    <phoneticPr fontId="2" type="noConversion"/>
  </si>
  <si>
    <t>109年度地檢補助經費運用後之結餘款結算（各單位自結數）</t>
    <phoneticPr fontId="2" type="noConversion"/>
  </si>
  <si>
    <t>行政費用(撥補)、辦公設備費(臺南)</t>
    <phoneticPr fontId="2" type="noConversion"/>
  </si>
  <si>
    <t>保護費用、助學金</t>
    <phoneticPr fontId="2" type="noConversion"/>
  </si>
  <si>
    <t>保護費用、有功表揚大會</t>
    <phoneticPr fontId="2" type="noConversion"/>
  </si>
  <si>
    <t>保護費用、外督支持培立</t>
    <phoneticPr fontId="2" type="noConversion"/>
  </si>
  <si>
    <t>馨光第一期
(新北等19分會)</t>
    <phoneticPr fontId="2" type="noConversion"/>
  </si>
  <si>
    <t>馨光第二期
(2分會)</t>
    <phoneticPr fontId="2" type="noConversion"/>
  </si>
  <si>
    <t>馨光第二期
(1分會)</t>
    <phoneticPr fontId="2" type="noConversion"/>
  </si>
  <si>
    <t>109年度預算編列27719千元</t>
    <phoneticPr fontId="2" type="noConversion"/>
  </si>
  <si>
    <t>資本門</t>
    <phoneticPr fontId="2" type="noConversion"/>
  </si>
  <si>
    <t>第二次核算
(109.)
會計師查帳後</t>
    <phoneticPr fontId="2" type="noConversion"/>
  </si>
  <si>
    <t>第一次核算
(110.1.6)</t>
    <phoneticPr fontId="2" type="noConversion"/>
  </si>
  <si>
    <t>經常門</t>
    <phoneticPr fontId="2" type="noConversion"/>
  </si>
  <si>
    <t>資本門</t>
    <phoneticPr fontId="2" type="noConversion"/>
  </si>
  <si>
    <t>預計110.1.11繳回</t>
    <phoneticPr fontId="2" type="noConversion"/>
  </si>
  <si>
    <t>驗算式３</t>
    <phoneticPr fontId="2" type="noConversion"/>
  </si>
  <si>
    <t>：109年度政府補助經費（ＧＶ３）運用情形表</t>
    <phoneticPr fontId="2" type="noConversion"/>
  </si>
  <si>
    <t>保護</t>
    <phoneticPr fontId="2" type="noConversion"/>
  </si>
  <si>
    <t>業務</t>
    <phoneticPr fontId="2" type="noConversion"/>
  </si>
  <si>
    <t>管理</t>
    <phoneticPr fontId="2" type="noConversion"/>
  </si>
  <si>
    <t>資本</t>
    <phoneticPr fontId="2" type="noConversion"/>
  </si>
  <si>
    <t>不含折攤之總支出</t>
    <phoneticPr fontId="2" type="noConversion"/>
  </si>
  <si>
    <t>不含折攤，含資本門之總支出</t>
    <phoneticPr fontId="2" type="noConversion"/>
  </si>
  <si>
    <t>110.1. 8製表</t>
    <phoneticPr fontId="2" type="noConversion"/>
  </si>
  <si>
    <t>業務(不含折攤)</t>
    <phoneticPr fontId="2" type="noConversion"/>
  </si>
  <si>
    <t>資本門</t>
    <phoneticPr fontId="2" type="noConversion"/>
  </si>
  <si>
    <t>經常門</t>
    <phoneticPr fontId="2" type="noConversion"/>
  </si>
  <si>
    <t>保護+業務(不含折攤)+資本門</t>
    <phoneticPr fontId="2" type="noConversion"/>
  </si>
  <si>
    <t>編號</t>
    <phoneticPr fontId="2" type="noConversion"/>
  </si>
  <si>
    <t>金額</t>
    <phoneticPr fontId="2" type="noConversion"/>
  </si>
  <si>
    <t>收支情形</t>
    <phoneticPr fontId="2" type="noConversion"/>
  </si>
  <si>
    <t>備註</t>
    <phoneticPr fontId="2" type="noConversion"/>
  </si>
  <si>
    <t>合計</t>
    <phoneticPr fontId="2" type="noConversion"/>
  </si>
  <si>
    <t>核定補助金額</t>
    <phoneticPr fontId="2" type="noConversion"/>
  </si>
  <si>
    <t>單位：新台幣元</t>
    <phoneticPr fontId="2" type="noConversion"/>
  </si>
  <si>
    <t>累計本期支出金額</t>
    <phoneticPr fontId="2" type="noConversion"/>
  </si>
  <si>
    <t>支用單據內容</t>
    <phoneticPr fontId="2" type="noConversion"/>
  </si>
  <si>
    <t>尚未支出金額</t>
    <phoneticPr fontId="2" type="noConversion"/>
  </si>
  <si>
    <t>本期支出金額</t>
    <phoneticPr fontId="2" type="noConversion"/>
  </si>
  <si>
    <t>截至上期已支出金額</t>
    <phoneticPr fontId="2" type="noConversion"/>
  </si>
  <si>
    <t>填寫日期:</t>
    <phoneticPr fontId="2" type="noConversion"/>
  </si>
  <si>
    <t>核銷月份:</t>
    <phoneticPr fontId="2" type="noConversion"/>
  </si>
  <si>
    <t>備註
(憑證編號)</t>
    <phoneticPr fontId="2" type="noConversion"/>
  </si>
  <si>
    <t>經濟補助</t>
    <phoneticPr fontId="2" type="noConversion"/>
  </si>
  <si>
    <t>001-004號</t>
    <phoneticPr fontId="2" type="noConversion"/>
  </si>
  <si>
    <t>公益團體名稱
115年度緩起訴處分金與認罪協商金補助款收支清單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</si>
</sst>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43" formatCode="_-* #,##0.00_-;\-* #,##0.00_-;_-* &quot;-&quot;??_-;_-@_-"/>
    <numFmt numFmtId="176" formatCode="_-* #,##0_-;\-* #,##0_-;_-* &quot;-&quot;??_-;_-@_-"/>
    <numFmt numFmtId="177" formatCode="#,##0_);[Red]\(#,##0\)"/>
  </numFmts>
  <fonts count="5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theme="1"/>
      <name val="華康硬黑體W7"/>
      <family val="3"/>
      <charset val="136"/>
    </font>
    <font>
      <sz val="11"/>
      <color theme="1"/>
      <name val="華康硬黑體W7"/>
      <family val="3"/>
      <charset val="136"/>
    </font>
    <font>
      <sz val="10"/>
      <color theme="1"/>
      <name val="華康硬黑體W7"/>
      <family val="3"/>
      <charset val="136"/>
    </font>
    <font>
      <b/>
      <sz val="12"/>
      <name val="新細明體"/>
      <family val="1"/>
      <charset val="136"/>
      <scheme val="minor"/>
    </font>
    <font>
      <sz val="9"/>
      <color rgb="FF0070C0"/>
      <name val="新細明體"/>
      <family val="2"/>
      <charset val="136"/>
      <scheme val="minor"/>
    </font>
    <font>
      <sz val="9"/>
      <color rgb="FF0070C0"/>
      <name val="新細明體"/>
      <family val="1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細明體"/>
      <family val="3"/>
      <charset val="136"/>
    </font>
    <font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b/>
      <sz val="16"/>
      <color theme="1"/>
      <name val="新細明體"/>
      <family val="1"/>
      <charset val="136"/>
    </font>
    <font>
      <b/>
      <sz val="16"/>
      <color theme="1"/>
      <name val="新細明體"/>
      <family val="1"/>
      <charset val="136"/>
      <scheme val="minor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sz val="11"/>
      <color indexed="81"/>
      <name val="細明體"/>
      <family val="3"/>
      <charset val="136"/>
    </font>
    <font>
      <b/>
      <sz val="14"/>
      <color theme="1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16"/>
      <color theme="1"/>
      <name val="華康硬黑體W7"/>
      <family val="3"/>
      <charset val="136"/>
    </font>
    <font>
      <sz val="16"/>
      <color theme="1"/>
      <name val="新細明體"/>
      <family val="1"/>
      <charset val="136"/>
      <scheme val="minor"/>
    </font>
    <font>
      <b/>
      <sz val="16"/>
      <color rgb="FFFF0000"/>
      <name val="新細明體"/>
      <family val="2"/>
      <charset val="136"/>
      <scheme val="minor"/>
    </font>
    <font>
      <b/>
      <sz val="16"/>
      <color rgb="FFFF0000"/>
      <name val="新細明體"/>
      <family val="1"/>
      <charset val="136"/>
      <scheme val="minor"/>
    </font>
    <font>
      <sz val="16"/>
      <color rgb="FF0070C0"/>
      <name val="新細明體"/>
      <family val="2"/>
      <charset val="136"/>
      <scheme val="minor"/>
    </font>
    <font>
      <sz val="16"/>
      <color rgb="FF0070C0"/>
      <name val="新細明體"/>
      <family val="1"/>
      <charset val="136"/>
      <scheme val="minor"/>
    </font>
    <font>
      <b/>
      <sz val="16"/>
      <name val="新細明體"/>
      <family val="1"/>
      <charset val="136"/>
      <scheme val="minor"/>
    </font>
    <font>
      <sz val="18"/>
      <color theme="1"/>
      <name val="華康硬黑體W7"/>
      <family val="3"/>
      <charset val="136"/>
    </font>
    <font>
      <b/>
      <sz val="12"/>
      <color indexed="81"/>
      <name val="Tahoma"/>
      <family val="2"/>
    </font>
    <font>
      <sz val="12"/>
      <color indexed="81"/>
      <name val="Tahoma"/>
      <family val="2"/>
    </font>
    <font>
      <sz val="12"/>
      <color indexed="81"/>
      <name val="細明體"/>
      <family val="3"/>
      <charset val="136"/>
    </font>
    <font>
      <b/>
      <sz val="22"/>
      <color theme="1"/>
      <name val="新細明體"/>
      <family val="1"/>
      <charset val="136"/>
      <scheme val="minor"/>
    </font>
    <font>
      <sz val="22"/>
      <color theme="1"/>
      <name val="新細明體"/>
      <family val="2"/>
      <charset val="136"/>
      <scheme val="minor"/>
    </font>
    <font>
      <sz val="22"/>
      <color theme="1"/>
      <name val="華康硬黑體W7"/>
      <family val="3"/>
      <charset val="136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10"/>
      <color indexed="81"/>
      <name val="細明體"/>
      <family val="3"/>
      <charset val="136"/>
    </font>
    <font>
      <b/>
      <sz val="12"/>
      <color rgb="FFFF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4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3" fontId="0" fillId="0" borderId="0" xfId="1" applyFont="1">
      <alignment vertical="center"/>
    </xf>
    <xf numFmtId="176" fontId="0" fillId="0" borderId="0" xfId="1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77" fontId="3" fillId="2" borderId="11" xfId="1" applyNumberFormat="1" applyFont="1" applyFill="1" applyBorder="1">
      <alignment vertical="center"/>
    </xf>
    <xf numFmtId="177" fontId="3" fillId="2" borderId="1" xfId="1" applyNumberFormat="1" applyFont="1" applyFill="1" applyBorder="1">
      <alignment vertical="center"/>
    </xf>
    <xf numFmtId="177" fontId="9" fillId="7" borderId="12" xfId="1" applyNumberFormat="1" applyFont="1" applyFill="1" applyBorder="1">
      <alignment vertical="center"/>
    </xf>
    <xf numFmtId="177" fontId="3" fillId="5" borderId="1" xfId="1" applyNumberFormat="1" applyFont="1" applyFill="1" applyBorder="1">
      <alignment vertical="center"/>
    </xf>
    <xf numFmtId="177" fontId="9" fillId="6" borderId="3" xfId="1" applyNumberFormat="1" applyFont="1" applyFill="1" applyBorder="1">
      <alignment vertical="center"/>
    </xf>
    <xf numFmtId="177" fontId="3" fillId="3" borderId="1" xfId="1" applyNumberFormat="1" applyFont="1" applyFill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2" borderId="1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0" xfId="0" applyNumberFormat="1">
      <alignment vertical="center"/>
    </xf>
    <xf numFmtId="177" fontId="9" fillId="4" borderId="13" xfId="1" applyNumberFormat="1" applyFont="1" applyFill="1" applyBorder="1">
      <alignment vertical="center"/>
    </xf>
    <xf numFmtId="177" fontId="3" fillId="3" borderId="11" xfId="1" applyNumberFormat="1" applyFont="1" applyFill="1" applyBorder="1">
      <alignment vertical="center"/>
    </xf>
    <xf numFmtId="177" fontId="8" fillId="3" borderId="12" xfId="1" applyNumberFormat="1" applyFont="1" applyFill="1" applyBorder="1">
      <alignment vertical="center"/>
    </xf>
    <xf numFmtId="0" fontId="0" fillId="0" borderId="0" xfId="0" applyProtection="1">
      <alignment vertical="center"/>
    </xf>
    <xf numFmtId="177" fontId="3" fillId="5" borderId="1" xfId="1" applyNumberFormat="1" applyFont="1" applyFill="1" applyBorder="1" applyProtection="1">
      <alignment vertical="center"/>
    </xf>
    <xf numFmtId="177" fontId="3" fillId="3" borderId="1" xfId="1" applyNumberFormat="1" applyFont="1" applyFill="1" applyBorder="1" applyProtection="1">
      <alignment vertical="center"/>
    </xf>
    <xf numFmtId="43" fontId="0" fillId="0" borderId="0" xfId="1" applyFont="1" applyProtection="1">
      <alignment vertical="center"/>
    </xf>
    <xf numFmtId="0" fontId="0" fillId="0" borderId="0" xfId="0" applyFont="1" applyProtection="1">
      <alignment vertical="center"/>
    </xf>
    <xf numFmtId="177" fontId="3" fillId="5" borderId="1" xfId="1" applyNumberFormat="1" applyFont="1" applyFill="1" applyBorder="1" applyProtection="1">
      <alignment vertical="center"/>
      <protection locked="0"/>
    </xf>
    <xf numFmtId="177" fontId="3" fillId="3" borderId="1" xfId="1" applyNumberFormat="1" applyFont="1" applyFill="1" applyBorder="1" applyProtection="1">
      <alignment vertical="center"/>
      <protection locked="0"/>
    </xf>
    <xf numFmtId="177" fontId="0" fillId="0" borderId="12" xfId="1" applyNumberFormat="1" applyFont="1" applyBorder="1" applyProtection="1">
      <alignment vertical="center"/>
    </xf>
    <xf numFmtId="0" fontId="11" fillId="0" borderId="19" xfId="0" applyFont="1" applyBorder="1" applyAlignment="1" applyProtection="1">
      <alignment horizontal="center" vertical="center"/>
    </xf>
    <xf numFmtId="177" fontId="8" fillId="0" borderId="13" xfId="1" applyNumberFormat="1" applyFont="1" applyBorder="1" applyProtection="1">
      <alignment vertical="center"/>
    </xf>
    <xf numFmtId="0" fontId="0" fillId="0" borderId="12" xfId="0" applyBorder="1" applyAlignment="1" applyProtection="1">
      <alignment horizontal="center" vertical="center" wrapText="1"/>
    </xf>
    <xf numFmtId="0" fontId="8" fillId="0" borderId="0" xfId="0" applyFont="1" applyProtection="1">
      <alignment vertical="center"/>
    </xf>
    <xf numFmtId="0" fontId="12" fillId="2" borderId="1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7" fontId="0" fillId="0" borderId="1" xfId="0" applyNumberFormat="1" applyBorder="1">
      <alignment vertical="center"/>
    </xf>
    <xf numFmtId="0" fontId="0" fillId="0" borderId="0" xfId="0" applyFont="1" applyAlignment="1" applyProtection="1">
      <alignment horizontal="center" vertical="center"/>
    </xf>
    <xf numFmtId="49" fontId="0" fillId="0" borderId="0" xfId="0" applyNumberFormat="1" applyFont="1" applyProtection="1">
      <alignment vertical="center"/>
    </xf>
    <xf numFmtId="0" fontId="20" fillId="0" borderId="0" xfId="0" applyFont="1">
      <alignment vertical="center"/>
    </xf>
    <xf numFmtId="0" fontId="20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right" vertical="center"/>
    </xf>
    <xf numFmtId="0" fontId="20" fillId="0" borderId="33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>
      <alignment vertical="center"/>
    </xf>
    <xf numFmtId="0" fontId="21" fillId="0" borderId="23" xfId="0" applyFont="1" applyBorder="1">
      <alignment vertical="center"/>
    </xf>
    <xf numFmtId="177" fontId="20" fillId="0" borderId="1" xfId="0" applyNumberFormat="1" applyFont="1" applyBorder="1">
      <alignment vertical="center"/>
    </xf>
    <xf numFmtId="177" fontId="21" fillId="0" borderId="30" xfId="0" applyNumberFormat="1" applyFont="1" applyBorder="1">
      <alignment vertical="center"/>
    </xf>
    <xf numFmtId="177" fontId="0" fillId="7" borderId="1" xfId="0" applyNumberFormat="1" applyFill="1" applyBorder="1">
      <alignment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>
      <alignment vertical="center"/>
    </xf>
    <xf numFmtId="0" fontId="0" fillId="0" borderId="29" xfId="0" applyBorder="1" applyAlignment="1">
      <alignment horizontal="center" vertical="center"/>
    </xf>
    <xf numFmtId="177" fontId="0" fillId="0" borderId="30" xfId="0" applyNumberFormat="1" applyBorder="1">
      <alignment vertical="center"/>
    </xf>
    <xf numFmtId="177" fontId="0" fillId="0" borderId="23" xfId="0" applyNumberFormat="1" applyBorder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77" fontId="0" fillId="0" borderId="11" xfId="0" applyNumberFormat="1" applyBorder="1">
      <alignment vertical="center"/>
    </xf>
    <xf numFmtId="177" fontId="0" fillId="7" borderId="11" xfId="0" applyNumberFormat="1" applyFill="1" applyBorder="1">
      <alignment vertical="center"/>
    </xf>
    <xf numFmtId="177" fontId="0" fillId="0" borderId="29" xfId="0" applyNumberFormat="1" applyBorder="1">
      <alignment vertical="center"/>
    </xf>
    <xf numFmtId="177" fontId="0" fillId="0" borderId="38" xfId="0" applyNumberFormat="1" applyBorder="1">
      <alignment vertical="center"/>
    </xf>
    <xf numFmtId="177" fontId="0" fillId="0" borderId="39" xfId="0" applyNumberFormat="1" applyBorder="1">
      <alignment vertical="center"/>
    </xf>
    <xf numFmtId="0" fontId="0" fillId="2" borderId="12" xfId="0" applyFill="1" applyBorder="1" applyAlignment="1">
      <alignment horizontal="center" vertical="center" wrapText="1"/>
    </xf>
    <xf numFmtId="177" fontId="0" fillId="2" borderId="12" xfId="0" applyNumberFormat="1" applyFill="1" applyBorder="1">
      <alignment vertical="center"/>
    </xf>
    <xf numFmtId="177" fontId="0" fillId="2" borderId="23" xfId="0" applyNumberFormat="1" applyFill="1" applyBorder="1">
      <alignment vertical="center"/>
    </xf>
    <xf numFmtId="0" fontId="0" fillId="8" borderId="1" xfId="0" applyFill="1" applyBorder="1" applyAlignment="1">
      <alignment horizontal="center" vertical="center" wrapText="1"/>
    </xf>
    <xf numFmtId="177" fontId="0" fillId="8" borderId="1" xfId="0" applyNumberFormat="1" applyFill="1" applyBorder="1">
      <alignment vertical="center"/>
    </xf>
    <xf numFmtId="177" fontId="0" fillId="8" borderId="30" xfId="0" applyNumberFormat="1" applyFill="1" applyBorder="1">
      <alignment vertical="center"/>
    </xf>
    <xf numFmtId="0" fontId="27" fillId="0" borderId="0" xfId="0" applyFont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5" fillId="0" borderId="1" xfId="0" applyFont="1" applyBorder="1" applyAlignment="1">
      <alignment horizontal="center" vertical="center"/>
    </xf>
    <xf numFmtId="177" fontId="15" fillId="3" borderId="1" xfId="0" applyNumberFormat="1" applyFont="1" applyFill="1" applyBorder="1">
      <alignment vertical="center"/>
    </xf>
    <xf numFmtId="177" fontId="15" fillId="2" borderId="1" xfId="0" applyNumberFormat="1" applyFont="1" applyFill="1" applyBorder="1">
      <alignment vertical="center"/>
    </xf>
    <xf numFmtId="177" fontId="0" fillId="3" borderId="1" xfId="0" applyNumberFormat="1" applyFill="1" applyBorder="1">
      <alignment vertical="center"/>
    </xf>
    <xf numFmtId="177" fontId="0" fillId="2" borderId="1" xfId="0" applyNumberFormat="1" applyFill="1" applyBorder="1">
      <alignment vertical="center"/>
    </xf>
    <xf numFmtId="177" fontId="15" fillId="3" borderId="1" xfId="0" applyNumberFormat="1" applyFont="1" applyFill="1" applyBorder="1" applyAlignment="1">
      <alignment horizontal="center" vertical="center"/>
    </xf>
    <xf numFmtId="177" fontId="15" fillId="2" borderId="1" xfId="0" applyNumberFormat="1" applyFont="1" applyFill="1" applyBorder="1" applyAlignment="1">
      <alignment horizontal="center" vertical="center"/>
    </xf>
    <xf numFmtId="177" fontId="28" fillId="3" borderId="1" xfId="0" applyNumberFormat="1" applyFont="1" applyFill="1" applyBorder="1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77" fontId="0" fillId="10" borderId="1" xfId="0" applyNumberFormat="1" applyFill="1" applyBorder="1">
      <alignment vertical="center"/>
    </xf>
    <xf numFmtId="0" fontId="0" fillId="7" borderId="1" xfId="0" applyFill="1" applyBorder="1" applyAlignment="1">
      <alignment horizontal="center" vertical="center"/>
    </xf>
    <xf numFmtId="177" fontId="15" fillId="7" borderId="1" xfId="0" applyNumberFormat="1" applyFont="1" applyFill="1" applyBorder="1" applyAlignment="1">
      <alignment horizontal="center" vertical="center"/>
    </xf>
    <xf numFmtId="177" fontId="15" fillId="7" borderId="1" xfId="0" applyNumberFormat="1" applyFont="1" applyFill="1" applyBorder="1">
      <alignment vertical="center"/>
    </xf>
    <xf numFmtId="177" fontId="15" fillId="0" borderId="0" xfId="0" applyNumberFormat="1" applyFont="1">
      <alignment vertical="center"/>
    </xf>
    <xf numFmtId="176" fontId="0" fillId="0" borderId="0" xfId="1" applyNumberFormat="1" applyFont="1" applyAlignment="1">
      <alignment horizontal="center" vertical="center"/>
    </xf>
    <xf numFmtId="176" fontId="15" fillId="0" borderId="0" xfId="1" applyNumberFormat="1" applyFont="1" applyAlignment="1">
      <alignment horizontal="center" vertical="center"/>
    </xf>
    <xf numFmtId="176" fontId="15" fillId="0" borderId="0" xfId="1" applyNumberFormat="1" applyFont="1">
      <alignment vertical="center"/>
    </xf>
    <xf numFmtId="177" fontId="29" fillId="2" borderId="1" xfId="0" applyNumberFormat="1" applyFont="1" applyFill="1" applyBorder="1">
      <alignment vertical="center"/>
    </xf>
    <xf numFmtId="176" fontId="29" fillId="0" borderId="0" xfId="1" applyNumberFormat="1" applyFont="1">
      <alignment vertical="center"/>
    </xf>
    <xf numFmtId="177" fontId="0" fillId="0" borderId="0" xfId="0" applyNumberFormat="1">
      <alignment vertical="center"/>
    </xf>
    <xf numFmtId="0" fontId="0" fillId="0" borderId="0" xfId="0" applyFont="1" applyFill="1" applyProtection="1">
      <alignment vertical="center"/>
    </xf>
    <xf numFmtId="0" fontId="13" fillId="2" borderId="3" xfId="0" applyFont="1" applyFill="1" applyBorder="1" applyAlignment="1">
      <alignment horizontal="center" vertical="center" wrapText="1"/>
    </xf>
    <xf numFmtId="177" fontId="3" fillId="2" borderId="3" xfId="1" applyNumberFormat="1" applyFont="1" applyFill="1" applyBorder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177" fontId="3" fillId="5" borderId="13" xfId="1" applyNumberFormat="1" applyFont="1" applyFill="1" applyBorder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177" fontId="14" fillId="2" borderId="11" xfId="1" applyNumberFormat="1" applyFont="1" applyFill="1" applyBorder="1">
      <alignment vertical="center"/>
    </xf>
    <xf numFmtId="177" fontId="14" fillId="2" borderId="1" xfId="1" applyNumberFormat="1" applyFont="1" applyFill="1" applyBorder="1">
      <alignment vertical="center"/>
    </xf>
    <xf numFmtId="177" fontId="14" fillId="5" borderId="11" xfId="1" applyNumberFormat="1" applyFont="1" applyFill="1" applyBorder="1">
      <alignment vertical="center"/>
    </xf>
    <xf numFmtId="177" fontId="14" fillId="5" borderId="1" xfId="1" applyNumberFormat="1" applyFont="1" applyFill="1" applyBorder="1">
      <alignment vertical="center"/>
    </xf>
    <xf numFmtId="176" fontId="14" fillId="0" borderId="0" xfId="1" applyNumberFormat="1" applyFont="1">
      <alignment vertical="center"/>
    </xf>
    <xf numFmtId="43" fontId="14" fillId="0" borderId="0" xfId="1" applyFont="1">
      <alignment vertical="center"/>
    </xf>
    <xf numFmtId="0" fontId="14" fillId="0" borderId="0" xfId="0" applyFont="1">
      <alignment vertical="center"/>
    </xf>
    <xf numFmtId="0" fontId="29" fillId="0" borderId="0" xfId="0" applyFont="1">
      <alignment vertical="center"/>
    </xf>
    <xf numFmtId="0" fontId="30" fillId="0" borderId="1" xfId="0" applyFont="1" applyBorder="1" applyAlignment="1" applyProtection="1">
      <alignment horizontal="center" vertical="center"/>
    </xf>
    <xf numFmtId="0" fontId="30" fillId="0" borderId="3" xfId="0" applyFont="1" applyBorder="1" applyAlignment="1" applyProtection="1">
      <alignment horizontal="center" vertical="center"/>
    </xf>
    <xf numFmtId="177" fontId="30" fillId="2" borderId="11" xfId="1" applyNumberFormat="1" applyFont="1" applyFill="1" applyBorder="1" applyProtection="1">
      <alignment vertical="center"/>
    </xf>
    <xf numFmtId="177" fontId="30" fillId="2" borderId="1" xfId="1" applyNumberFormat="1" applyFont="1" applyFill="1" applyBorder="1" applyProtection="1">
      <alignment vertical="center"/>
    </xf>
    <xf numFmtId="177" fontId="31" fillId="9" borderId="12" xfId="1" applyNumberFormat="1" applyFont="1" applyFill="1" applyBorder="1" applyProtection="1">
      <alignment vertical="center"/>
    </xf>
    <xf numFmtId="177" fontId="30" fillId="11" borderId="11" xfId="1" applyNumberFormat="1" applyFont="1" applyFill="1" applyBorder="1" applyProtection="1">
      <alignment vertical="center"/>
    </xf>
    <xf numFmtId="177" fontId="30" fillId="11" borderId="1" xfId="1" applyNumberFormat="1" applyFont="1" applyFill="1" applyBorder="1" applyProtection="1">
      <alignment vertical="center"/>
    </xf>
    <xf numFmtId="177" fontId="30" fillId="11" borderId="1" xfId="1" applyNumberFormat="1" applyFont="1" applyFill="1" applyBorder="1" applyProtection="1">
      <alignment vertical="center"/>
      <protection locked="0"/>
    </xf>
    <xf numFmtId="177" fontId="30" fillId="3" borderId="11" xfId="1" applyNumberFormat="1" applyFont="1" applyFill="1" applyBorder="1" applyProtection="1">
      <alignment vertical="center"/>
    </xf>
    <xf numFmtId="177" fontId="30" fillId="3" borderId="1" xfId="1" applyNumberFormat="1" applyFont="1" applyFill="1" applyBorder="1" applyProtection="1">
      <alignment vertical="center"/>
    </xf>
    <xf numFmtId="177" fontId="31" fillId="3" borderId="12" xfId="1" applyNumberFormat="1" applyFont="1" applyFill="1" applyBorder="1" applyProtection="1">
      <alignment vertical="center"/>
    </xf>
    <xf numFmtId="177" fontId="31" fillId="0" borderId="13" xfId="1" applyNumberFormat="1" applyFont="1" applyBorder="1" applyProtection="1">
      <alignment vertical="center"/>
    </xf>
    <xf numFmtId="177" fontId="30" fillId="0" borderId="12" xfId="1" applyNumberFormat="1" applyFont="1" applyBorder="1" applyProtection="1">
      <alignment vertical="center"/>
    </xf>
    <xf numFmtId="176" fontId="30" fillId="0" borderId="0" xfId="1" applyNumberFormat="1" applyFont="1" applyProtection="1">
      <alignment vertical="center"/>
    </xf>
    <xf numFmtId="176" fontId="30" fillId="2" borderId="1" xfId="1" applyNumberFormat="1" applyFont="1" applyFill="1" applyBorder="1" applyProtection="1">
      <alignment vertical="center"/>
      <protection locked="0"/>
    </xf>
    <xf numFmtId="176" fontId="31" fillId="2" borderId="1" xfId="1" applyNumberFormat="1" applyFont="1" applyFill="1" applyBorder="1" applyProtection="1">
      <alignment vertical="center"/>
    </xf>
    <xf numFmtId="43" fontId="30" fillId="0" borderId="0" xfId="1" applyFont="1" applyProtection="1">
      <alignment vertical="center"/>
    </xf>
    <xf numFmtId="0" fontId="32" fillId="0" borderId="7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/>
    </xf>
    <xf numFmtId="176" fontId="32" fillId="0" borderId="1" xfId="1" applyNumberFormat="1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41" fontId="30" fillId="0" borderId="0" xfId="1" applyNumberFormat="1" applyFont="1" applyProtection="1">
      <alignment vertical="center"/>
    </xf>
    <xf numFmtId="0" fontId="30" fillId="0" borderId="0" xfId="0" applyFont="1" applyProtection="1">
      <alignment vertical="center"/>
    </xf>
    <xf numFmtId="177" fontId="31" fillId="7" borderId="12" xfId="1" applyNumberFormat="1" applyFont="1" applyFill="1" applyBorder="1" applyProtection="1">
      <alignment vertical="center"/>
    </xf>
    <xf numFmtId="177" fontId="30" fillId="3" borderId="1" xfId="1" applyNumberFormat="1" applyFont="1" applyFill="1" applyBorder="1" applyProtection="1">
      <alignment vertical="center"/>
      <protection locked="0"/>
    </xf>
    <xf numFmtId="176" fontId="32" fillId="0" borderId="1" xfId="1" applyNumberFormat="1" applyFont="1" applyBorder="1">
      <alignment vertical="center"/>
    </xf>
    <xf numFmtId="0" fontId="32" fillId="0" borderId="1" xfId="0" quotePrefix="1" applyFont="1" applyBorder="1" applyAlignment="1">
      <alignment horizontal="center" vertical="center"/>
    </xf>
    <xf numFmtId="176" fontId="32" fillId="0" borderId="1" xfId="1" applyNumberFormat="1" applyFont="1" applyBorder="1" applyAlignment="1">
      <alignment horizontal="left" vertical="center" wrapText="1"/>
    </xf>
    <xf numFmtId="0" fontId="30" fillId="0" borderId="1" xfId="0" applyFont="1" applyFill="1" applyBorder="1" applyAlignment="1" applyProtection="1">
      <alignment horizontal="center" vertical="center"/>
    </xf>
    <xf numFmtId="0" fontId="30" fillId="0" borderId="3" xfId="0" applyFont="1" applyFill="1" applyBorder="1" applyAlignment="1" applyProtection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176" fontId="32" fillId="0" borderId="1" xfId="1" applyNumberFormat="1" applyFont="1" applyBorder="1" applyAlignment="1">
      <alignment vertical="center" wrapText="1"/>
    </xf>
    <xf numFmtId="41" fontId="30" fillId="0" borderId="0" xfId="1" applyNumberFormat="1" applyFont="1" applyFill="1" applyProtection="1">
      <alignment vertical="center"/>
    </xf>
    <xf numFmtId="0" fontId="23" fillId="0" borderId="1" xfId="0" applyFont="1" applyBorder="1" applyAlignment="1" applyProtection="1">
      <alignment horizontal="center" vertical="center"/>
    </xf>
    <xf numFmtId="0" fontId="23" fillId="0" borderId="3" xfId="0" applyFont="1" applyBorder="1" applyAlignment="1" applyProtection="1">
      <alignment horizontal="center" vertical="center"/>
    </xf>
    <xf numFmtId="177" fontId="23" fillId="2" borderId="13" xfId="1" applyNumberFormat="1" applyFont="1" applyFill="1" applyBorder="1" applyProtection="1">
      <alignment vertical="center"/>
    </xf>
    <xf numFmtId="177" fontId="23" fillId="2" borderId="1" xfId="1" applyNumberFormat="1" applyFont="1" applyFill="1" applyBorder="1" applyProtection="1">
      <alignment vertical="center"/>
    </xf>
    <xf numFmtId="177" fontId="23" fillId="2" borderId="5" xfId="1" applyNumberFormat="1" applyFont="1" applyFill="1" applyBorder="1" applyProtection="1">
      <alignment vertical="center"/>
    </xf>
    <xf numFmtId="176" fontId="23" fillId="0" borderId="1" xfId="1" applyNumberFormat="1" applyFont="1" applyBorder="1">
      <alignment vertical="center"/>
    </xf>
    <xf numFmtId="0" fontId="30" fillId="0" borderId="1" xfId="0" applyFont="1" applyBorder="1">
      <alignment vertical="center"/>
    </xf>
    <xf numFmtId="0" fontId="32" fillId="0" borderId="0" xfId="0" applyFont="1" applyProtection="1">
      <alignment vertical="center"/>
    </xf>
    <xf numFmtId="0" fontId="30" fillId="2" borderId="11" xfId="0" applyFont="1" applyFill="1" applyBorder="1" applyAlignment="1" applyProtection="1">
      <alignment horizontal="center" vertical="center"/>
    </xf>
    <xf numFmtId="0" fontId="30" fillId="2" borderId="1" xfId="0" applyFont="1" applyFill="1" applyBorder="1" applyAlignment="1" applyProtection="1">
      <alignment horizontal="center" vertical="center"/>
    </xf>
    <xf numFmtId="49" fontId="30" fillId="0" borderId="0" xfId="0" applyNumberFormat="1" applyFont="1" applyAlignment="1" applyProtection="1">
      <alignment horizontal="center" vertical="center"/>
    </xf>
    <xf numFmtId="177" fontId="30" fillId="2" borderId="11" xfId="0" applyNumberFormat="1" applyFont="1" applyFill="1" applyBorder="1" applyAlignment="1" applyProtection="1">
      <alignment horizontal="center" vertical="center"/>
    </xf>
    <xf numFmtId="177" fontId="30" fillId="2" borderId="1" xfId="0" applyNumberFormat="1" applyFont="1" applyFill="1" applyBorder="1" applyAlignment="1" applyProtection="1">
      <alignment horizontal="center" vertical="center"/>
    </xf>
    <xf numFmtId="49" fontId="30" fillId="0" borderId="0" xfId="0" applyNumberFormat="1" applyFont="1" applyProtection="1">
      <alignment vertical="center"/>
    </xf>
    <xf numFmtId="0" fontId="35" fillId="2" borderId="11" xfId="0" applyFont="1" applyFill="1" applyBorder="1" applyAlignment="1" applyProtection="1">
      <alignment horizontal="center" vertical="center" wrapText="1"/>
    </xf>
    <xf numFmtId="0" fontId="36" fillId="2" borderId="1" xfId="0" applyFont="1" applyFill="1" applyBorder="1" applyAlignment="1" applyProtection="1">
      <alignment horizontal="center" vertical="center" wrapText="1"/>
    </xf>
    <xf numFmtId="0" fontId="32" fillId="11" borderId="11" xfId="0" applyFont="1" applyFill="1" applyBorder="1" applyAlignment="1" applyProtection="1">
      <alignment horizontal="center" vertical="center" wrapText="1"/>
    </xf>
    <xf numFmtId="0" fontId="32" fillId="11" borderId="1" xfId="0" applyFont="1" applyFill="1" applyBorder="1" applyAlignment="1" applyProtection="1">
      <alignment horizontal="center" vertical="center" wrapText="1"/>
    </xf>
    <xf numFmtId="0" fontId="30" fillId="3" borderId="1" xfId="0" applyFont="1" applyFill="1" applyBorder="1" applyAlignment="1" applyProtection="1">
      <alignment horizontal="center" vertical="center" wrapText="1"/>
    </xf>
    <xf numFmtId="0" fontId="37" fillId="0" borderId="19" xfId="0" applyFont="1" applyBorder="1" applyAlignment="1" applyProtection="1">
      <alignment horizontal="center" vertical="center"/>
    </xf>
    <xf numFmtId="0" fontId="30" fillId="0" borderId="12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center" vertical="center"/>
    </xf>
    <xf numFmtId="0" fontId="42" fillId="0" borderId="0" xfId="0" applyFont="1" applyAlignment="1" applyProtection="1">
      <alignment horizontal="left" vertical="center"/>
    </xf>
    <xf numFmtId="0" fontId="43" fillId="0" borderId="0" xfId="0" applyFont="1" applyAlignment="1" applyProtection="1">
      <alignment horizontal="center" vertical="center"/>
    </xf>
    <xf numFmtId="0" fontId="43" fillId="0" borderId="0" xfId="0" applyFont="1" applyProtection="1">
      <alignment vertical="center"/>
    </xf>
    <xf numFmtId="0" fontId="43" fillId="0" borderId="0" xfId="0" applyFont="1" applyFill="1" applyProtection="1">
      <alignment vertical="center"/>
    </xf>
    <xf numFmtId="0" fontId="44" fillId="0" borderId="0" xfId="0" applyFont="1" applyProtection="1">
      <alignment vertical="center"/>
    </xf>
    <xf numFmtId="177" fontId="38" fillId="3" borderId="12" xfId="1" applyNumberFormat="1" applyFont="1" applyFill="1" applyBorder="1" applyProtection="1">
      <alignment vertical="center"/>
    </xf>
    <xf numFmtId="177" fontId="38" fillId="6" borderId="3" xfId="1" applyNumberFormat="1" applyFont="1" applyFill="1" applyBorder="1" applyProtection="1">
      <alignment vertical="center"/>
    </xf>
    <xf numFmtId="177" fontId="38" fillId="4" borderId="13" xfId="1" applyNumberFormat="1" applyFont="1" applyFill="1" applyBorder="1" applyProtection="1">
      <alignment vertical="center"/>
    </xf>
    <xf numFmtId="177" fontId="38" fillId="10" borderId="13" xfId="1" applyNumberFormat="1" applyFont="1" applyFill="1" applyBorder="1" applyProtection="1">
      <alignment vertical="center"/>
    </xf>
    <xf numFmtId="0" fontId="30" fillId="3" borderId="1" xfId="0" applyFont="1" applyFill="1" applyBorder="1" applyAlignment="1" applyProtection="1">
      <alignment horizontal="center" vertical="center"/>
    </xf>
    <xf numFmtId="177" fontId="0" fillId="0" borderId="7" xfId="1" applyNumberFormat="1" applyFont="1" applyBorder="1" applyAlignment="1">
      <alignment horizontal="center" vertical="center"/>
    </xf>
    <xf numFmtId="177" fontId="0" fillId="0" borderId="15" xfId="1" applyNumberFormat="1" applyFont="1" applyBorder="1" applyAlignment="1">
      <alignment horizontal="center" vertical="center"/>
    </xf>
    <xf numFmtId="177" fontId="0" fillId="0" borderId="1" xfId="0" applyNumberFormat="1" applyBorder="1" applyAlignment="1">
      <alignment vertical="center"/>
    </xf>
    <xf numFmtId="177" fontId="0" fillId="0" borderId="12" xfId="0" applyNumberFormat="1" applyBorder="1" applyAlignment="1">
      <alignment vertical="center"/>
    </xf>
    <xf numFmtId="177" fontId="15" fillId="0" borderId="30" xfId="0" applyNumberFormat="1" applyFont="1" applyBorder="1" applyAlignment="1">
      <alignment vertical="center"/>
    </xf>
    <xf numFmtId="177" fontId="15" fillId="0" borderId="23" xfId="0" applyNumberFormat="1" applyFont="1" applyBorder="1" applyAlignment="1">
      <alignment vertical="center"/>
    </xf>
    <xf numFmtId="177" fontId="0" fillId="0" borderId="7" xfId="1" applyNumberFormat="1" applyFont="1" applyBorder="1" applyAlignment="1">
      <alignment horizontal="right" vertical="center"/>
    </xf>
    <xf numFmtId="177" fontId="0" fillId="0" borderId="15" xfId="1" applyNumberFormat="1" applyFont="1" applyBorder="1" applyAlignment="1">
      <alignment horizontal="right" vertical="center"/>
    </xf>
    <xf numFmtId="0" fontId="48" fillId="0" borderId="0" xfId="0" applyFont="1">
      <alignment vertical="center"/>
    </xf>
    <xf numFmtId="0" fontId="19" fillId="0" borderId="0" xfId="0" applyFont="1">
      <alignment vertical="center"/>
    </xf>
    <xf numFmtId="0" fontId="19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176" fontId="19" fillId="0" borderId="1" xfId="1" applyNumberFormat="1" applyFont="1" applyBorder="1">
      <alignment vertical="center"/>
    </xf>
    <xf numFmtId="0" fontId="19" fillId="0" borderId="1" xfId="0" applyFont="1" applyBorder="1">
      <alignment vertical="center"/>
    </xf>
    <xf numFmtId="176" fontId="19" fillId="0" borderId="1" xfId="0" applyNumberFormat="1" applyFont="1" applyBorder="1">
      <alignment vertical="center"/>
    </xf>
    <xf numFmtId="177" fontId="0" fillId="0" borderId="38" xfId="0" applyNumberFormat="1" applyFill="1" applyBorder="1">
      <alignment vertical="center"/>
    </xf>
    <xf numFmtId="0" fontId="19" fillId="0" borderId="1" xfId="0" applyFont="1" applyBorder="1" applyAlignment="1">
      <alignment horizontal="center" vertical="center" wrapText="1"/>
    </xf>
    <xf numFmtId="0" fontId="0" fillId="5" borderId="47" xfId="0" applyFill="1" applyBorder="1" applyAlignment="1">
      <alignment horizontal="center" vertical="center"/>
    </xf>
    <xf numFmtId="177" fontId="0" fillId="5" borderId="48" xfId="0" applyNumberFormat="1" applyFill="1" applyBorder="1" applyAlignment="1">
      <alignment horizontal="center" vertical="center"/>
    </xf>
    <xf numFmtId="0" fontId="0" fillId="5" borderId="48" xfId="0" applyFill="1" applyBorder="1" applyAlignment="1">
      <alignment horizontal="center" vertical="center"/>
    </xf>
    <xf numFmtId="176" fontId="49" fillId="8" borderId="7" xfId="0" applyNumberFormat="1" applyFont="1" applyFill="1" applyBorder="1">
      <alignment vertical="center"/>
    </xf>
    <xf numFmtId="0" fontId="19" fillId="8" borderId="1" xfId="0" applyFont="1" applyFill="1" applyBorder="1" applyAlignment="1">
      <alignment vertical="center" wrapText="1"/>
    </xf>
    <xf numFmtId="177" fontId="19" fillId="0" borderId="1" xfId="0" applyNumberFormat="1" applyFont="1" applyBorder="1" applyAlignment="1">
      <alignment horizontal="right" vertical="center"/>
    </xf>
    <xf numFmtId="177" fontId="19" fillId="0" borderId="1" xfId="1" applyNumberFormat="1" applyFont="1" applyBorder="1" applyAlignment="1">
      <alignment horizontal="right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>
      <alignment vertical="center"/>
    </xf>
    <xf numFmtId="0" fontId="19" fillId="0" borderId="2" xfId="0" applyFont="1" applyBorder="1">
      <alignment vertical="center"/>
    </xf>
    <xf numFmtId="0" fontId="19" fillId="0" borderId="0" xfId="0" applyFont="1" applyBorder="1" applyAlignment="1">
      <alignment horizontal="center" vertical="center" wrapText="1"/>
    </xf>
    <xf numFmtId="0" fontId="49" fillId="0" borderId="0" xfId="0" applyFont="1">
      <alignment vertical="center"/>
    </xf>
    <xf numFmtId="0" fontId="50" fillId="0" borderId="0" xfId="0" applyFont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177" fontId="19" fillId="0" borderId="7" xfId="0" applyNumberFormat="1" applyFont="1" applyBorder="1" applyAlignment="1">
      <alignment horizontal="right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>
      <alignment vertical="center"/>
    </xf>
    <xf numFmtId="0" fontId="19" fillId="0" borderId="29" xfId="0" applyFont="1" applyBorder="1" applyAlignment="1">
      <alignment horizontal="center" vertical="center"/>
    </xf>
    <xf numFmtId="177" fontId="19" fillId="0" borderId="30" xfId="0" applyNumberFormat="1" applyFont="1" applyBorder="1" applyAlignment="1">
      <alignment horizontal="right" vertical="center"/>
    </xf>
    <xf numFmtId="0" fontId="19" fillId="0" borderId="23" xfId="0" applyFont="1" applyBorder="1">
      <alignment vertical="center"/>
    </xf>
    <xf numFmtId="0" fontId="49" fillId="0" borderId="0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 wrapText="1"/>
    </xf>
    <xf numFmtId="0" fontId="50" fillId="0" borderId="0" xfId="0" applyFont="1" applyBorder="1" applyAlignment="1">
      <alignment horizontal="left" vertical="center" wrapText="1"/>
    </xf>
    <xf numFmtId="0" fontId="19" fillId="0" borderId="28" xfId="0" applyFont="1" applyBorder="1" applyAlignment="1">
      <alignment horizontal="center" vertical="center" wrapText="1"/>
    </xf>
    <xf numFmtId="177" fontId="30" fillId="11" borderId="3" xfId="0" applyNumberFormat="1" applyFont="1" applyFill="1" applyBorder="1" applyAlignment="1" applyProtection="1">
      <alignment horizontal="center" vertical="center"/>
    </xf>
    <xf numFmtId="177" fontId="32" fillId="11" borderId="5" xfId="0" applyNumberFormat="1" applyFont="1" applyFill="1" applyBorder="1" applyAlignment="1" applyProtection="1">
      <alignment horizontal="center" vertical="center"/>
    </xf>
    <xf numFmtId="176" fontId="23" fillId="2" borderId="6" xfId="1" applyNumberFormat="1" applyFont="1" applyFill="1" applyBorder="1" applyAlignment="1" applyProtection="1">
      <alignment horizontal="center" vertical="center"/>
    </xf>
    <xf numFmtId="176" fontId="23" fillId="2" borderId="7" xfId="1" applyNumberFormat="1" applyFont="1" applyFill="1" applyBorder="1" applyAlignment="1" applyProtection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177" fontId="30" fillId="3" borderId="1" xfId="1" applyNumberFormat="1" applyFont="1" applyFill="1" applyBorder="1" applyAlignment="1" applyProtection="1">
      <alignment horizontal="center" vertical="center"/>
    </xf>
    <xf numFmtId="177" fontId="38" fillId="3" borderId="12" xfId="1" applyNumberFormat="1" applyFont="1" applyFill="1" applyBorder="1" applyAlignment="1" applyProtection="1">
      <alignment horizontal="center" vertical="center"/>
    </xf>
    <xf numFmtId="177" fontId="31" fillId="0" borderId="17" xfId="1" applyNumberFormat="1" applyFont="1" applyBorder="1" applyAlignment="1" applyProtection="1">
      <alignment horizontal="center" vertical="center"/>
    </xf>
    <xf numFmtId="177" fontId="31" fillId="0" borderId="24" xfId="1" applyNumberFormat="1" applyFont="1" applyBorder="1" applyAlignment="1" applyProtection="1">
      <alignment horizontal="center" vertical="center"/>
    </xf>
    <xf numFmtId="177" fontId="30" fillId="0" borderId="12" xfId="1" applyNumberFormat="1" applyFont="1" applyBorder="1" applyAlignment="1" applyProtection="1">
      <alignment horizontal="center" vertical="center"/>
    </xf>
    <xf numFmtId="177" fontId="30" fillId="0" borderId="23" xfId="1" applyNumberFormat="1" applyFont="1" applyBorder="1" applyAlignment="1" applyProtection="1">
      <alignment horizontal="center" vertical="center"/>
    </xf>
    <xf numFmtId="177" fontId="30" fillId="11" borderId="13" xfId="0" applyNumberFormat="1" applyFont="1" applyFill="1" applyBorder="1" applyAlignment="1" applyProtection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177" fontId="31" fillId="7" borderId="14" xfId="1" applyNumberFormat="1" applyFont="1" applyFill="1" applyBorder="1" applyAlignment="1" applyProtection="1">
      <alignment horizontal="center" vertical="center"/>
    </xf>
    <xf numFmtId="177" fontId="31" fillId="7" borderId="15" xfId="1" applyNumberFormat="1" applyFont="1" applyFill="1" applyBorder="1" applyAlignment="1" applyProtection="1">
      <alignment horizontal="center" vertical="center"/>
    </xf>
    <xf numFmtId="177" fontId="30" fillId="11" borderId="6" xfId="1" applyNumberFormat="1" applyFont="1" applyFill="1" applyBorder="1" applyAlignment="1" applyProtection="1">
      <alignment horizontal="center" vertical="center"/>
    </xf>
    <xf numFmtId="177" fontId="30" fillId="11" borderId="7" xfId="1" applyNumberFormat="1" applyFont="1" applyFill="1" applyBorder="1" applyAlignment="1" applyProtection="1">
      <alignment horizontal="center" vertical="center"/>
    </xf>
    <xf numFmtId="177" fontId="38" fillId="6" borderId="8" xfId="1" applyNumberFormat="1" applyFont="1" applyFill="1" applyBorder="1" applyAlignment="1" applyProtection="1">
      <alignment horizontal="center" vertical="center"/>
    </xf>
    <xf numFmtId="177" fontId="38" fillId="6" borderId="10" xfId="1" applyNumberFormat="1" applyFont="1" applyFill="1" applyBorder="1" applyAlignment="1" applyProtection="1">
      <alignment horizontal="center" vertical="center"/>
    </xf>
    <xf numFmtId="177" fontId="38" fillId="4" borderId="17" xfId="1" applyNumberFormat="1" applyFont="1" applyFill="1" applyBorder="1" applyAlignment="1" applyProtection="1">
      <alignment horizontal="center" vertical="center"/>
    </xf>
    <xf numFmtId="177" fontId="38" fillId="4" borderId="19" xfId="1" applyNumberFormat="1" applyFont="1" applyFill="1" applyBorder="1" applyAlignment="1" applyProtection="1">
      <alignment horizontal="center" vertical="center"/>
    </xf>
    <xf numFmtId="177" fontId="30" fillId="3" borderId="11" xfId="1" applyNumberFormat="1" applyFont="1" applyFill="1" applyBorder="1" applyAlignment="1" applyProtection="1">
      <alignment horizontal="center" vertical="center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2" borderId="1" xfId="0" applyFont="1" applyFill="1" applyBorder="1" applyAlignment="1" applyProtection="1">
      <alignment horizontal="center" vertical="center" wrapText="1"/>
    </xf>
    <xf numFmtId="0" fontId="32" fillId="2" borderId="1" xfId="0" applyFont="1" applyFill="1" applyBorder="1" applyAlignment="1" applyProtection="1">
      <alignment horizontal="center" vertical="center"/>
    </xf>
    <xf numFmtId="0" fontId="32" fillId="0" borderId="25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8" fillId="7" borderId="12" xfId="0" applyFont="1" applyFill="1" applyBorder="1" applyAlignment="1" applyProtection="1">
      <alignment horizontal="center" vertical="center"/>
    </xf>
    <xf numFmtId="0" fontId="30" fillId="11" borderId="13" xfId="0" applyFont="1" applyFill="1" applyBorder="1" applyAlignment="1" applyProtection="1">
      <alignment horizontal="center" vertical="center"/>
    </xf>
    <xf numFmtId="0" fontId="32" fillId="11" borderId="5" xfId="0" applyFont="1" applyFill="1" applyBorder="1" applyAlignment="1" applyProtection="1">
      <alignment horizontal="center" vertical="center"/>
    </xf>
    <xf numFmtId="0" fontId="30" fillId="11" borderId="3" xfId="0" applyFont="1" applyFill="1" applyBorder="1" applyAlignment="1" applyProtection="1">
      <alignment horizontal="center" vertical="center"/>
    </xf>
    <xf numFmtId="0" fontId="34" fillId="0" borderId="20" xfId="0" applyFont="1" applyBorder="1" applyAlignment="1" applyProtection="1">
      <alignment horizontal="center" vertical="center"/>
    </xf>
    <xf numFmtId="0" fontId="34" fillId="0" borderId="21" xfId="0" applyFont="1" applyBorder="1" applyAlignment="1" applyProtection="1">
      <alignment horizontal="center" vertical="center"/>
    </xf>
    <xf numFmtId="0" fontId="34" fillId="0" borderId="19" xfId="0" applyFont="1" applyBorder="1" applyAlignment="1" applyProtection="1">
      <alignment horizontal="center" vertical="center"/>
    </xf>
    <xf numFmtId="0" fontId="34" fillId="0" borderId="22" xfId="0" applyFont="1" applyBorder="1" applyAlignment="1" applyProtection="1">
      <alignment horizontal="center" vertical="center"/>
    </xf>
    <xf numFmtId="0" fontId="34" fillId="11" borderId="3" xfId="0" applyFont="1" applyFill="1" applyBorder="1" applyAlignment="1" applyProtection="1">
      <alignment horizontal="center" vertical="center" wrapText="1"/>
    </xf>
    <xf numFmtId="0" fontId="34" fillId="11" borderId="5" xfId="0" applyFont="1" applyFill="1" applyBorder="1" applyAlignment="1" applyProtection="1">
      <alignment horizontal="center" vertical="center"/>
    </xf>
    <xf numFmtId="0" fontId="30" fillId="11" borderId="4" xfId="0" applyFont="1" applyFill="1" applyBorder="1" applyAlignment="1" applyProtection="1">
      <alignment horizontal="center" vertical="center"/>
    </xf>
    <xf numFmtId="0" fontId="30" fillId="11" borderId="5" xfId="0" applyFont="1" applyFill="1" applyBorder="1" applyAlignment="1" applyProtection="1">
      <alignment horizontal="center" vertical="center"/>
    </xf>
    <xf numFmtId="0" fontId="31" fillId="6" borderId="8" xfId="0" applyFont="1" applyFill="1" applyBorder="1" applyAlignment="1" applyProtection="1">
      <alignment horizontal="center" vertical="center" wrapText="1"/>
    </xf>
    <xf numFmtId="0" fontId="31" fillId="6" borderId="10" xfId="0" applyFont="1" applyFill="1" applyBorder="1" applyAlignment="1" applyProtection="1">
      <alignment horizontal="center" vertical="center" wrapText="1"/>
    </xf>
    <xf numFmtId="0" fontId="30" fillId="3" borderId="11" xfId="0" applyFont="1" applyFill="1" applyBorder="1" applyAlignment="1" applyProtection="1">
      <alignment horizontal="center" vertical="center"/>
    </xf>
    <xf numFmtId="0" fontId="0" fillId="0" borderId="8" xfId="0" applyFont="1" applyBorder="1" applyAlignment="1" applyProtection="1">
      <alignment horizontal="center" vertical="center"/>
    </xf>
    <xf numFmtId="0" fontId="0" fillId="0" borderId="16" xfId="0" applyFont="1" applyBorder="1" applyAlignment="1" applyProtection="1">
      <alignment horizontal="center" vertical="center"/>
    </xf>
    <xf numFmtId="0" fontId="0" fillId="0" borderId="9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</xf>
    <xf numFmtId="0" fontId="33" fillId="2" borderId="11" xfId="0" applyFont="1" applyFill="1" applyBorder="1" applyAlignment="1" applyProtection="1">
      <alignment horizontal="center" vertical="center"/>
    </xf>
    <xf numFmtId="0" fontId="34" fillId="2" borderId="1" xfId="0" applyFont="1" applyFill="1" applyBorder="1" applyAlignment="1" applyProtection="1">
      <alignment horizontal="center" vertical="center"/>
    </xf>
    <xf numFmtId="0" fontId="34" fillId="2" borderId="12" xfId="0" applyFont="1" applyFill="1" applyBorder="1" applyAlignment="1" applyProtection="1">
      <alignment horizontal="center" vertical="center"/>
    </xf>
    <xf numFmtId="0" fontId="34" fillId="11" borderId="13" xfId="0" applyFont="1" applyFill="1" applyBorder="1" applyAlignment="1" applyProtection="1">
      <alignment horizontal="center" vertical="center"/>
    </xf>
    <xf numFmtId="0" fontId="34" fillId="11" borderId="4" xfId="0" applyFont="1" applyFill="1" applyBorder="1" applyAlignment="1" applyProtection="1">
      <alignment horizontal="center" vertical="center"/>
    </xf>
    <xf numFmtId="0" fontId="34" fillId="4" borderId="17" xfId="0" applyFont="1" applyFill="1" applyBorder="1" applyAlignment="1" applyProtection="1">
      <alignment horizontal="center" vertical="center"/>
    </xf>
    <xf numFmtId="0" fontId="34" fillId="4" borderId="18" xfId="0" applyFont="1" applyFill="1" applyBorder="1" applyAlignment="1" applyProtection="1">
      <alignment horizontal="center" vertical="center"/>
    </xf>
    <xf numFmtId="0" fontId="34" fillId="4" borderId="19" xfId="0" applyFont="1" applyFill="1" applyBorder="1" applyAlignment="1" applyProtection="1">
      <alignment horizontal="center" vertical="center"/>
    </xf>
    <xf numFmtId="0" fontId="34" fillId="3" borderId="11" xfId="0" applyFont="1" applyFill="1" applyBorder="1" applyAlignment="1" applyProtection="1">
      <alignment horizontal="center" vertical="center"/>
    </xf>
    <xf numFmtId="0" fontId="34" fillId="3" borderId="1" xfId="0" applyFont="1" applyFill="1" applyBorder="1" applyAlignment="1" applyProtection="1">
      <alignment horizontal="center" vertical="center"/>
    </xf>
    <xf numFmtId="0" fontId="34" fillId="3" borderId="12" xfId="0" applyFont="1" applyFill="1" applyBorder="1" applyAlignment="1" applyProtection="1">
      <alignment horizontal="center" vertical="center"/>
    </xf>
    <xf numFmtId="0" fontId="30" fillId="3" borderId="1" xfId="0" applyFont="1" applyFill="1" applyBorder="1" applyAlignment="1" applyProtection="1">
      <alignment horizontal="center" vertical="center"/>
    </xf>
    <xf numFmtId="0" fontId="30" fillId="3" borderId="12" xfId="0" applyFont="1" applyFill="1" applyBorder="1" applyAlignment="1" applyProtection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23" fillId="6" borderId="48" xfId="0" applyFont="1" applyFill="1" applyBorder="1" applyAlignment="1">
      <alignment horizontal="center" vertical="center"/>
    </xf>
    <xf numFmtId="177" fontId="23" fillId="6" borderId="48" xfId="0" applyNumberFormat="1" applyFont="1" applyFill="1" applyBorder="1" applyAlignment="1">
      <alignment horizontal="center" vertical="center"/>
    </xf>
    <xf numFmtId="0" fontId="23" fillId="6" borderId="49" xfId="0" applyFont="1" applyFill="1" applyBorder="1" applyAlignment="1">
      <alignment horizontal="center" vertical="center"/>
    </xf>
    <xf numFmtId="177" fontId="0" fillId="0" borderId="46" xfId="0" applyNumberForma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177" fontId="0" fillId="0" borderId="40" xfId="0" applyNumberFormat="1" applyBorder="1" applyAlignment="1">
      <alignment horizontal="center" vertical="center"/>
    </xf>
    <xf numFmtId="177" fontId="0" fillId="0" borderId="41" xfId="0" applyNumberFormat="1" applyBorder="1" applyAlignment="1">
      <alignment horizontal="center" vertical="center"/>
    </xf>
    <xf numFmtId="177" fontId="0" fillId="0" borderId="45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6" fontId="49" fillId="0" borderId="1" xfId="0" applyNumberFormat="1" applyFont="1" applyBorder="1" applyAlignment="1">
      <alignment horizontal="center" vertical="center"/>
    </xf>
    <xf numFmtId="0" fontId="22" fillId="0" borderId="50" xfId="0" applyFont="1" applyBorder="1" applyAlignment="1">
      <alignment horizontal="center" vertical="center"/>
    </xf>
    <xf numFmtId="177" fontId="0" fillId="0" borderId="40" xfId="1" applyNumberFormat="1" applyFont="1" applyBorder="1" applyAlignment="1">
      <alignment horizontal="center" vertical="center"/>
    </xf>
    <xf numFmtId="177" fontId="0" fillId="0" borderId="37" xfId="1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0" fillId="0" borderId="13" xfId="1" applyNumberFormat="1" applyFont="1" applyBorder="1" applyAlignment="1">
      <alignment horizontal="distributed" vertical="center" indent="1"/>
    </xf>
    <xf numFmtId="49" fontId="0" fillId="0" borderId="5" xfId="1" applyNumberFormat="1" applyFont="1" applyBorder="1" applyAlignment="1">
      <alignment horizontal="distributed" vertical="center" indent="1"/>
    </xf>
    <xf numFmtId="0" fontId="15" fillId="0" borderId="34" xfId="0" applyFont="1" applyBorder="1" applyAlignment="1">
      <alignment horizontal="distributed" vertical="center" indent="1"/>
    </xf>
    <xf numFmtId="0" fontId="15" fillId="0" borderId="35" xfId="0" applyFont="1" applyBorder="1" applyAlignment="1">
      <alignment horizontal="distributed" vertical="center" indent="1"/>
    </xf>
    <xf numFmtId="0" fontId="20" fillId="0" borderId="31" xfId="0" applyFont="1" applyBorder="1" applyAlignment="1">
      <alignment horizontal="left" vertical="center" wrapText="1"/>
    </xf>
    <xf numFmtId="0" fontId="20" fillId="0" borderId="32" xfId="0" applyFont="1" applyBorder="1" applyAlignment="1">
      <alignment horizontal="left" vertical="center" wrapText="1"/>
    </xf>
    <xf numFmtId="0" fontId="21" fillId="0" borderId="34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 wrapText="1"/>
    </xf>
    <xf numFmtId="0" fontId="19" fillId="0" borderId="30" xfId="0" applyFont="1" applyBorder="1" applyAlignment="1">
      <alignment horizontal="left" vertical="center" wrapText="1"/>
    </xf>
    <xf numFmtId="0" fontId="50" fillId="0" borderId="0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49" fontId="19" fillId="0" borderId="3" xfId="1" applyNumberFormat="1" applyFont="1" applyBorder="1" applyAlignment="1">
      <alignment horizontal="left" vertical="center"/>
    </xf>
    <xf numFmtId="49" fontId="19" fillId="0" borderId="5" xfId="1" applyNumberFormat="1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49" fontId="19" fillId="0" borderId="17" xfId="1" applyNumberFormat="1" applyFont="1" applyBorder="1" applyAlignment="1">
      <alignment horizontal="center" vertical="center"/>
    </xf>
    <xf numFmtId="49" fontId="19" fillId="0" borderId="18" xfId="1" applyNumberFormat="1" applyFont="1" applyBorder="1" applyAlignment="1">
      <alignment horizontal="center" vertical="center"/>
    </xf>
    <xf numFmtId="49" fontId="19" fillId="0" borderId="24" xfId="1" applyNumberFormat="1" applyFont="1" applyBorder="1" applyAlignment="1">
      <alignment horizontal="center" vertical="center"/>
    </xf>
    <xf numFmtId="0" fontId="19" fillId="0" borderId="52" xfId="0" applyFont="1" applyBorder="1" applyAlignment="1">
      <alignment horizontal="left" vertical="center"/>
    </xf>
    <xf numFmtId="0" fontId="19" fillId="0" borderId="35" xfId="0" applyFont="1" applyBorder="1" applyAlignment="1">
      <alignment horizontal="left" vertical="center"/>
    </xf>
    <xf numFmtId="0" fontId="0" fillId="0" borderId="1" xfId="0" applyBorder="1" applyAlignment="1">
      <alignment horizontal="distributed" vertical="center" indent="1"/>
    </xf>
    <xf numFmtId="49" fontId="0" fillId="0" borderId="1" xfId="1" applyNumberFormat="1" applyFont="1" applyBorder="1" applyAlignment="1">
      <alignment horizontal="distributed" vertical="center" indent="1"/>
    </xf>
    <xf numFmtId="0" fontId="15" fillId="0" borderId="1" xfId="0" applyFont="1" applyBorder="1" applyAlignment="1">
      <alignment horizontal="distributed" vertical="center" indent="1"/>
    </xf>
    <xf numFmtId="0" fontId="0" fillId="7" borderId="1" xfId="0" applyFill="1" applyBorder="1" applyAlignment="1">
      <alignment horizontal="center" vertical="center" wrapText="1"/>
    </xf>
    <xf numFmtId="177" fontId="15" fillId="7" borderId="3" xfId="0" applyNumberFormat="1" applyFont="1" applyFill="1" applyBorder="1" applyAlignment="1">
      <alignment horizontal="center" vertical="center"/>
    </xf>
    <xf numFmtId="0" fontId="15" fillId="7" borderId="5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177" fontId="15" fillId="3" borderId="3" xfId="0" applyNumberFormat="1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177" fontId="15" fillId="2" borderId="3" xfId="0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49" fontId="0" fillId="5" borderId="3" xfId="0" applyNumberFormat="1" applyFont="1" applyFill="1" applyBorder="1" applyAlignment="1">
      <alignment horizontal="center" vertical="center"/>
    </xf>
    <xf numFmtId="49" fontId="7" fillId="5" borderId="5" xfId="0" applyNumberFormat="1" applyFont="1" applyFill="1" applyBorder="1" applyAlignment="1">
      <alignment horizontal="center" vertical="center"/>
    </xf>
    <xf numFmtId="0" fontId="5" fillId="0" borderId="20" xfId="0" applyFont="1" applyBorder="1" applyAlignment="1" applyProtection="1">
      <alignment horizontal="center" vertical="center"/>
    </xf>
    <xf numFmtId="0" fontId="5" fillId="0" borderId="21" xfId="0" applyFont="1" applyBorder="1" applyAlignment="1" applyProtection="1">
      <alignment horizontal="center" vertical="center"/>
    </xf>
    <xf numFmtId="0" fontId="5" fillId="0" borderId="19" xfId="0" applyFont="1" applyBorder="1" applyAlignment="1" applyProtection="1">
      <alignment horizontal="center" vertical="center"/>
    </xf>
    <xf numFmtId="0" fontId="5" fillId="0" borderId="22" xfId="0" applyFont="1" applyBorder="1" applyAlignment="1" applyProtection="1">
      <alignment horizontal="center" vertical="center"/>
    </xf>
    <xf numFmtId="177" fontId="8" fillId="0" borderId="17" xfId="1" applyNumberFormat="1" applyFont="1" applyBorder="1" applyAlignment="1" applyProtection="1">
      <alignment horizontal="center" vertical="center"/>
    </xf>
    <xf numFmtId="177" fontId="8" fillId="0" borderId="24" xfId="1" applyNumberFormat="1" applyFont="1" applyBorder="1" applyAlignment="1" applyProtection="1">
      <alignment horizontal="center" vertical="center"/>
    </xf>
    <xf numFmtId="177" fontId="0" fillId="0" borderId="12" xfId="1" applyNumberFormat="1" applyFont="1" applyBorder="1" applyAlignment="1" applyProtection="1">
      <alignment horizontal="center" vertical="center"/>
    </xf>
    <xf numFmtId="177" fontId="0" fillId="0" borderId="23" xfId="1" applyNumberFormat="1" applyFont="1" applyBorder="1" applyAlignment="1" applyProtection="1">
      <alignment horizontal="center" vertical="center"/>
    </xf>
    <xf numFmtId="177" fontId="0" fillId="3" borderId="11" xfId="1" applyNumberFormat="1" applyFont="1" applyFill="1" applyBorder="1" applyAlignment="1">
      <alignment horizontal="center" vertical="center"/>
    </xf>
    <xf numFmtId="177" fontId="0" fillId="3" borderId="1" xfId="1" applyNumberFormat="1" applyFont="1" applyFill="1" applyBorder="1" applyAlignment="1">
      <alignment horizontal="center" vertical="center"/>
    </xf>
    <xf numFmtId="177" fontId="8" fillId="3" borderId="12" xfId="1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177" fontId="8" fillId="7" borderId="14" xfId="1" applyNumberFormat="1" applyFont="1" applyFill="1" applyBorder="1" applyAlignment="1">
      <alignment horizontal="center" vertical="center"/>
    </xf>
    <xf numFmtId="177" fontId="8" fillId="7" borderId="15" xfId="1" applyNumberFormat="1" applyFont="1" applyFill="1" applyBorder="1" applyAlignment="1">
      <alignment horizontal="center" vertical="center"/>
    </xf>
    <xf numFmtId="177" fontId="0" fillId="5" borderId="6" xfId="1" applyNumberFormat="1" applyFont="1" applyFill="1" applyBorder="1" applyAlignment="1">
      <alignment horizontal="center" vertical="center"/>
    </xf>
    <xf numFmtId="177" fontId="0" fillId="5" borderId="7" xfId="1" applyNumberFormat="1" applyFont="1" applyFill="1" applyBorder="1" applyAlignment="1">
      <alignment horizontal="center" vertical="center"/>
    </xf>
    <xf numFmtId="177" fontId="8" fillId="6" borderId="8" xfId="1" applyNumberFormat="1" applyFont="1" applyFill="1" applyBorder="1" applyAlignment="1">
      <alignment horizontal="center" vertical="center"/>
    </xf>
    <xf numFmtId="177" fontId="8" fillId="6" borderId="10" xfId="1" applyNumberFormat="1" applyFont="1" applyFill="1" applyBorder="1" applyAlignment="1">
      <alignment horizontal="center" vertical="center"/>
    </xf>
    <xf numFmtId="177" fontId="8" fillId="4" borderId="17" xfId="1" applyNumberFormat="1" applyFont="1" applyFill="1" applyBorder="1" applyAlignment="1">
      <alignment horizontal="center" vertical="center"/>
    </xf>
    <xf numFmtId="177" fontId="8" fillId="4" borderId="19" xfId="1" applyNumberFormat="1" applyFont="1" applyFill="1" applyBorder="1" applyAlignment="1">
      <alignment horizontal="center" vertical="center"/>
    </xf>
    <xf numFmtId="49" fontId="0" fillId="5" borderId="13" xfId="0" applyNumberFormat="1" applyFont="1" applyFill="1" applyBorder="1" applyAlignment="1">
      <alignment horizontal="center" vertical="center"/>
    </xf>
    <xf numFmtId="0" fontId="0" fillId="5" borderId="3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0" fillId="5" borderId="13" xfId="0" applyFont="1" applyFill="1" applyBorder="1" applyAlignment="1">
      <alignment horizontal="center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colors>
    <mruColors>
      <color rgb="FFF5D9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工作表1">
    <pageSetUpPr fitToPage="1"/>
  </sheetPr>
  <dimension ref="A1:CK32"/>
  <sheetViews>
    <sheetView zoomScale="70" zoomScaleNormal="70" workbookViewId="0">
      <pane xSplit="2" ySplit="4" topLeftCell="AE5" activePane="bottomRight" state="frozen"/>
      <selection pane="topRight" activeCell="C1" sqref="C1"/>
      <selection pane="bottomLeft" activeCell="A5" sqref="A5"/>
      <selection pane="bottomRight" activeCell="AJ11" sqref="AJ11"/>
    </sheetView>
  </sheetViews>
  <sheetFormatPr defaultColWidth="9" defaultRowHeight="16.5"/>
  <cols>
    <col min="1" max="1" width="4.25" style="44" customWidth="1"/>
    <col min="2" max="2" width="6.5" style="44" customWidth="1"/>
    <col min="3" max="3" width="15.375" style="30" bestFit="1" customWidth="1"/>
    <col min="4" max="5" width="8.625" style="30" bestFit="1" customWidth="1"/>
    <col min="6" max="6" width="16.625" style="30" bestFit="1" customWidth="1"/>
    <col min="7" max="7" width="8.625" style="30" bestFit="1" customWidth="1"/>
    <col min="8" max="8" width="16" style="30" bestFit="1" customWidth="1"/>
    <col min="9" max="9" width="12.875" style="30" bestFit="1" customWidth="1"/>
    <col min="10" max="10" width="16" style="30" bestFit="1" customWidth="1"/>
    <col min="11" max="11" width="8.625" style="30" bestFit="1" customWidth="1"/>
    <col min="12" max="12" width="13.5" style="30" bestFit="1" customWidth="1"/>
    <col min="13" max="13" width="15.125" style="30" bestFit="1" customWidth="1"/>
    <col min="14" max="14" width="8.625" style="30" bestFit="1" customWidth="1"/>
    <col min="15" max="15" width="19" style="30" bestFit="1" customWidth="1"/>
    <col min="16" max="16" width="11" style="104" bestFit="1" customWidth="1"/>
    <col min="17" max="17" width="13.375" style="104" bestFit="1" customWidth="1"/>
    <col min="18" max="18" width="11" style="104" bestFit="1" customWidth="1"/>
    <col min="19" max="19" width="13.375" style="104" bestFit="1" customWidth="1"/>
    <col min="20" max="20" width="11" style="104" bestFit="1" customWidth="1"/>
    <col min="21" max="21" width="13.375" style="104" bestFit="1" customWidth="1"/>
    <col min="22" max="22" width="11" style="104" bestFit="1" customWidth="1"/>
    <col min="23" max="23" width="13.375" style="104" bestFit="1" customWidth="1"/>
    <col min="24" max="24" width="11" style="104" bestFit="1" customWidth="1"/>
    <col min="25" max="25" width="13.375" style="104" bestFit="1" customWidth="1"/>
    <col min="26" max="26" width="11.125" style="104" bestFit="1" customWidth="1"/>
    <col min="27" max="29" width="13.375" style="104" bestFit="1" customWidth="1"/>
    <col min="30" max="30" width="11.125" style="104" bestFit="1" customWidth="1"/>
    <col min="31" max="31" width="13.375" style="104" bestFit="1" customWidth="1"/>
    <col min="32" max="32" width="11.125" style="104" bestFit="1" customWidth="1"/>
    <col min="33" max="33" width="13.375" style="104" bestFit="1" customWidth="1"/>
    <col min="34" max="34" width="11" style="104" bestFit="1" customWidth="1"/>
    <col min="35" max="35" width="13.375" style="104" bestFit="1" customWidth="1"/>
    <col min="36" max="36" width="11" style="104" bestFit="1" customWidth="1"/>
    <col min="37" max="37" width="12.375" style="104" bestFit="1" customWidth="1"/>
    <col min="38" max="38" width="11" style="104" bestFit="1" customWidth="1"/>
    <col min="39" max="39" width="12.375" style="104" bestFit="1" customWidth="1"/>
    <col min="40" max="40" width="13.125" style="104" bestFit="1" customWidth="1"/>
    <col min="41" max="41" width="14.75" style="104" bestFit="1" customWidth="1"/>
    <col min="42" max="42" width="11.125" style="104" bestFit="1" customWidth="1"/>
    <col min="43" max="43" width="20.75" style="30" customWidth="1"/>
    <col min="44" max="44" width="19.875" style="30" customWidth="1"/>
    <col min="45" max="45" width="8.125" style="30" customWidth="1"/>
    <col min="46" max="46" width="14.75" style="30" bestFit="1" customWidth="1"/>
    <col min="47" max="47" width="10.5" style="30" bestFit="1" customWidth="1"/>
    <col min="48" max="48" width="11.625" style="30" bestFit="1" customWidth="1"/>
    <col min="49" max="49" width="21.5" style="30" customWidth="1"/>
    <col min="50" max="50" width="11.75" style="30" customWidth="1"/>
    <col min="51" max="51" width="9.375" style="30" customWidth="1"/>
    <col min="52" max="52" width="1.5" style="30" customWidth="1"/>
    <col min="53" max="53" width="10.625" style="30" customWidth="1"/>
    <col min="54" max="54" width="11.625" style="30" customWidth="1"/>
    <col min="55" max="55" width="12.625" style="30" customWidth="1"/>
    <col min="56" max="64" width="10.625" style="30" customWidth="1"/>
    <col min="65" max="65" width="11.25" style="30" customWidth="1"/>
    <col min="66" max="73" width="10.625" style="30" customWidth="1"/>
    <col min="74" max="74" width="14.375" style="37" customWidth="1"/>
    <col min="75" max="75" width="2.375" style="30" customWidth="1"/>
    <col min="76" max="76" width="6.625" style="30" customWidth="1"/>
    <col min="77" max="77" width="11.375" style="30" customWidth="1"/>
    <col min="78" max="78" width="13.75" style="30" customWidth="1"/>
    <col min="79" max="79" width="17.25" style="30" customWidth="1"/>
    <col min="80" max="80" width="13.5" style="30" customWidth="1"/>
    <col min="81" max="81" width="13.875" style="30" customWidth="1"/>
    <col min="82" max="82" width="55.625" style="30" customWidth="1"/>
    <col min="83" max="83" width="2.375" style="30" customWidth="1"/>
    <col min="84" max="84" width="11.625" style="30" customWidth="1"/>
    <col min="85" max="16384" width="9" style="30"/>
  </cols>
  <sheetData>
    <row r="1" spans="1:89" s="176" customFormat="1" ht="78.75" customHeight="1" thickBot="1">
      <c r="A1" s="174" t="s">
        <v>133</v>
      </c>
      <c r="B1" s="175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BV1" s="178"/>
    </row>
    <row r="2" spans="1:89" s="159" customFormat="1" ht="64.5" customHeight="1">
      <c r="A2" s="281" t="s">
        <v>46</v>
      </c>
      <c r="B2" s="282"/>
      <c r="C2" s="287" t="s">
        <v>45</v>
      </c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9"/>
      <c r="P2" s="290" t="s">
        <v>61</v>
      </c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  <c r="AB2" s="291"/>
      <c r="AC2" s="291"/>
      <c r="AD2" s="291"/>
      <c r="AE2" s="291"/>
      <c r="AF2" s="291"/>
      <c r="AG2" s="291"/>
      <c r="AH2" s="291"/>
      <c r="AI2" s="291"/>
      <c r="AJ2" s="291"/>
      <c r="AK2" s="291"/>
      <c r="AL2" s="291"/>
      <c r="AM2" s="291"/>
      <c r="AN2" s="291"/>
      <c r="AO2" s="291"/>
      <c r="AP2" s="291"/>
      <c r="AQ2" s="291"/>
      <c r="AR2" s="292" t="s">
        <v>62</v>
      </c>
      <c r="AS2" s="295" t="s">
        <v>63</v>
      </c>
      <c r="AT2" s="296"/>
      <c r="AU2" s="296"/>
      <c r="AV2" s="296"/>
      <c r="AW2" s="297"/>
      <c r="AX2" s="270" t="s">
        <v>64</v>
      </c>
      <c r="AY2" s="271"/>
      <c r="BA2" s="262" t="s">
        <v>69</v>
      </c>
      <c r="BB2" s="262"/>
      <c r="BC2" s="262"/>
      <c r="BD2" s="262"/>
      <c r="BE2" s="262"/>
      <c r="BF2" s="262"/>
      <c r="BG2" s="262"/>
      <c r="BH2" s="262"/>
      <c r="BI2" s="262"/>
      <c r="BJ2" s="262"/>
      <c r="BK2" s="262"/>
      <c r="BL2" s="262"/>
      <c r="BM2" s="262"/>
      <c r="BN2" s="262"/>
      <c r="BO2" s="262"/>
      <c r="BP2" s="262"/>
      <c r="BQ2" s="262"/>
      <c r="BR2" s="262"/>
      <c r="BS2" s="262"/>
      <c r="BT2" s="262"/>
      <c r="BU2" s="262"/>
      <c r="BV2" s="262"/>
      <c r="BX2" s="263" t="s">
        <v>87</v>
      </c>
      <c r="BY2" s="264"/>
      <c r="BZ2" s="264"/>
      <c r="CA2" s="264"/>
      <c r="CB2" s="264"/>
      <c r="CC2" s="264"/>
      <c r="CD2" s="265"/>
    </row>
    <row r="3" spans="1:89" s="141" customFormat="1" ht="63" customHeight="1">
      <c r="A3" s="283"/>
      <c r="B3" s="284"/>
      <c r="C3" s="160" t="s">
        <v>21</v>
      </c>
      <c r="D3" s="161" t="s">
        <v>22</v>
      </c>
      <c r="E3" s="161" t="s">
        <v>23</v>
      </c>
      <c r="F3" s="161" t="s">
        <v>24</v>
      </c>
      <c r="G3" s="161" t="s">
        <v>25</v>
      </c>
      <c r="H3" s="161" t="s">
        <v>26</v>
      </c>
      <c r="I3" s="161" t="s">
        <v>27</v>
      </c>
      <c r="J3" s="161" t="s">
        <v>28</v>
      </c>
      <c r="K3" s="161" t="s">
        <v>29</v>
      </c>
      <c r="L3" s="161" t="s">
        <v>30</v>
      </c>
      <c r="M3" s="161" t="s">
        <v>31</v>
      </c>
      <c r="N3" s="161" t="s">
        <v>32</v>
      </c>
      <c r="O3" s="266" t="s">
        <v>44</v>
      </c>
      <c r="P3" s="267" t="s">
        <v>47</v>
      </c>
      <c r="Q3" s="268"/>
      <c r="R3" s="269" t="s">
        <v>49</v>
      </c>
      <c r="S3" s="268"/>
      <c r="T3" s="269" t="s">
        <v>50</v>
      </c>
      <c r="U3" s="268"/>
      <c r="V3" s="269" t="s">
        <v>51</v>
      </c>
      <c r="W3" s="268"/>
      <c r="X3" s="269" t="s">
        <v>52</v>
      </c>
      <c r="Y3" s="268"/>
      <c r="Z3" s="269" t="s">
        <v>53</v>
      </c>
      <c r="AA3" s="268"/>
      <c r="AB3" s="269" t="s">
        <v>54</v>
      </c>
      <c r="AC3" s="268"/>
      <c r="AD3" s="269" t="s">
        <v>55</v>
      </c>
      <c r="AE3" s="268"/>
      <c r="AF3" s="269" t="s">
        <v>56</v>
      </c>
      <c r="AG3" s="268"/>
      <c r="AH3" s="269" t="s">
        <v>57</v>
      </c>
      <c r="AI3" s="268"/>
      <c r="AJ3" s="269" t="s">
        <v>58</v>
      </c>
      <c r="AK3" s="268"/>
      <c r="AL3" s="274" t="s">
        <v>79</v>
      </c>
      <c r="AM3" s="275"/>
      <c r="AN3" s="269" t="s">
        <v>60</v>
      </c>
      <c r="AO3" s="276"/>
      <c r="AP3" s="277"/>
      <c r="AQ3" s="278" t="s">
        <v>43</v>
      </c>
      <c r="AR3" s="293"/>
      <c r="AS3" s="280" t="s">
        <v>33</v>
      </c>
      <c r="AT3" s="298" t="s">
        <v>34</v>
      </c>
      <c r="AU3" s="298"/>
      <c r="AV3" s="298"/>
      <c r="AW3" s="299" t="s">
        <v>43</v>
      </c>
      <c r="AX3" s="272"/>
      <c r="AY3" s="273"/>
      <c r="BA3" s="261" t="s">
        <v>96</v>
      </c>
      <c r="BB3" s="261" t="s">
        <v>97</v>
      </c>
      <c r="BC3" s="261" t="s">
        <v>98</v>
      </c>
      <c r="BD3" s="261" t="s">
        <v>91</v>
      </c>
      <c r="BE3" s="261" t="s">
        <v>92</v>
      </c>
      <c r="BF3" s="261" t="s">
        <v>93</v>
      </c>
      <c r="BG3" s="261" t="s">
        <v>94</v>
      </c>
      <c r="BH3" s="261" t="s">
        <v>95</v>
      </c>
      <c r="BI3" s="261" t="s">
        <v>70</v>
      </c>
      <c r="BJ3" s="261" t="s">
        <v>71</v>
      </c>
      <c r="BK3" s="261" t="s">
        <v>72</v>
      </c>
      <c r="BL3" s="261" t="s">
        <v>73</v>
      </c>
      <c r="BM3" s="261" t="s">
        <v>74</v>
      </c>
      <c r="BN3" s="261" t="s">
        <v>75</v>
      </c>
      <c r="BO3" s="261" t="s">
        <v>76</v>
      </c>
      <c r="BP3" s="261" t="s">
        <v>77</v>
      </c>
      <c r="BQ3" s="261" t="s">
        <v>78</v>
      </c>
      <c r="BR3" s="257" t="s">
        <v>88</v>
      </c>
      <c r="BS3" s="257" t="s">
        <v>89</v>
      </c>
      <c r="BT3" s="257" t="s">
        <v>90</v>
      </c>
      <c r="BU3" s="257"/>
      <c r="BV3" s="258" t="s">
        <v>37</v>
      </c>
      <c r="BX3" s="259" t="s">
        <v>80</v>
      </c>
      <c r="BY3" s="243" t="s">
        <v>81</v>
      </c>
      <c r="BZ3" s="243" t="s">
        <v>82</v>
      </c>
      <c r="CA3" s="245" t="s">
        <v>83</v>
      </c>
      <c r="CB3" s="246"/>
      <c r="CC3" s="247"/>
      <c r="CD3" s="139" t="s">
        <v>84</v>
      </c>
    </row>
    <row r="4" spans="1:89" s="173" customFormat="1" ht="153" customHeight="1">
      <c r="A4" s="285"/>
      <c r="B4" s="286"/>
      <c r="C4" s="166" t="s">
        <v>41</v>
      </c>
      <c r="D4" s="167" t="s">
        <v>40</v>
      </c>
      <c r="E4" s="167" t="s">
        <v>40</v>
      </c>
      <c r="F4" s="167" t="s">
        <v>134</v>
      </c>
      <c r="G4" s="167" t="s">
        <v>40</v>
      </c>
      <c r="H4" s="167" t="s">
        <v>135</v>
      </c>
      <c r="I4" s="167" t="s">
        <v>105</v>
      </c>
      <c r="J4" s="167" t="s">
        <v>136</v>
      </c>
      <c r="K4" s="167" t="s">
        <v>40</v>
      </c>
      <c r="L4" s="167" t="s">
        <v>137</v>
      </c>
      <c r="M4" s="167" t="s">
        <v>42</v>
      </c>
      <c r="N4" s="167"/>
      <c r="O4" s="266"/>
      <c r="P4" s="168" t="s">
        <v>42</v>
      </c>
      <c r="Q4" s="169" t="s">
        <v>48</v>
      </c>
      <c r="R4" s="169" t="s">
        <v>42</v>
      </c>
      <c r="S4" s="169" t="s">
        <v>48</v>
      </c>
      <c r="T4" s="169" t="s">
        <v>42</v>
      </c>
      <c r="U4" s="169" t="s">
        <v>48</v>
      </c>
      <c r="V4" s="169" t="s">
        <v>42</v>
      </c>
      <c r="W4" s="169" t="s">
        <v>48</v>
      </c>
      <c r="X4" s="169" t="s">
        <v>42</v>
      </c>
      <c r="Y4" s="169" t="s">
        <v>48</v>
      </c>
      <c r="Z4" s="169" t="s">
        <v>42</v>
      </c>
      <c r="AA4" s="169" t="s">
        <v>48</v>
      </c>
      <c r="AB4" s="169" t="s">
        <v>42</v>
      </c>
      <c r="AC4" s="169" t="s">
        <v>48</v>
      </c>
      <c r="AD4" s="169" t="s">
        <v>42</v>
      </c>
      <c r="AE4" s="169" t="s">
        <v>48</v>
      </c>
      <c r="AF4" s="169" t="s">
        <v>42</v>
      </c>
      <c r="AG4" s="169" t="s">
        <v>48</v>
      </c>
      <c r="AH4" s="169" t="s">
        <v>42</v>
      </c>
      <c r="AI4" s="169" t="s">
        <v>48</v>
      </c>
      <c r="AJ4" s="169" t="s">
        <v>42</v>
      </c>
      <c r="AK4" s="169" t="s">
        <v>48</v>
      </c>
      <c r="AL4" s="169" t="s">
        <v>42</v>
      </c>
      <c r="AM4" s="169" t="s">
        <v>48</v>
      </c>
      <c r="AN4" s="169" t="s">
        <v>42</v>
      </c>
      <c r="AO4" s="169" t="s">
        <v>48</v>
      </c>
      <c r="AP4" s="169" t="s">
        <v>142</v>
      </c>
      <c r="AQ4" s="279"/>
      <c r="AR4" s="294"/>
      <c r="AS4" s="280"/>
      <c r="AT4" s="183" t="s">
        <v>35</v>
      </c>
      <c r="AU4" s="170" t="s">
        <v>65</v>
      </c>
      <c r="AV4" s="170" t="s">
        <v>66</v>
      </c>
      <c r="AW4" s="299"/>
      <c r="AX4" s="171" t="s">
        <v>67</v>
      </c>
      <c r="AY4" s="172" t="s">
        <v>68</v>
      </c>
      <c r="BA4" s="261"/>
      <c r="BB4" s="261"/>
      <c r="BC4" s="261"/>
      <c r="BD4" s="261"/>
      <c r="BE4" s="261"/>
      <c r="BF4" s="261"/>
      <c r="BG4" s="261"/>
      <c r="BH4" s="261"/>
      <c r="BI4" s="261"/>
      <c r="BJ4" s="261"/>
      <c r="BK4" s="261"/>
      <c r="BL4" s="261"/>
      <c r="BM4" s="261"/>
      <c r="BN4" s="261"/>
      <c r="BO4" s="261"/>
      <c r="BP4" s="261"/>
      <c r="BQ4" s="261"/>
      <c r="BR4" s="257"/>
      <c r="BS4" s="257"/>
      <c r="BT4" s="257"/>
      <c r="BU4" s="257"/>
      <c r="BV4" s="258"/>
      <c r="BX4" s="260"/>
      <c r="BY4" s="244"/>
      <c r="BZ4" s="244"/>
      <c r="CA4" s="138" t="s">
        <v>35</v>
      </c>
      <c r="CB4" s="138" t="s">
        <v>36</v>
      </c>
      <c r="CC4" s="139" t="s">
        <v>37</v>
      </c>
      <c r="CD4" s="139"/>
    </row>
    <row r="5" spans="1:89" s="141" customFormat="1" ht="60" customHeight="1">
      <c r="A5" s="119">
        <v>1</v>
      </c>
      <c r="B5" s="120" t="s">
        <v>0</v>
      </c>
      <c r="C5" s="121">
        <v>0</v>
      </c>
      <c r="D5" s="122">
        <v>0</v>
      </c>
      <c r="E5" s="122">
        <v>0</v>
      </c>
      <c r="F5" s="122">
        <v>0</v>
      </c>
      <c r="G5" s="122">
        <v>0</v>
      </c>
      <c r="H5" s="122">
        <v>0</v>
      </c>
      <c r="I5" s="122">
        <v>0</v>
      </c>
      <c r="J5" s="122">
        <v>0</v>
      </c>
      <c r="K5" s="122">
        <v>0</v>
      </c>
      <c r="L5" s="122">
        <v>0</v>
      </c>
      <c r="M5" s="122">
        <v>0</v>
      </c>
      <c r="N5" s="122">
        <v>0</v>
      </c>
      <c r="O5" s="123">
        <f>70148000-(O6+O7+O8+O9+O10+O11+O12+O13+O14+O15+O16+O17+O18+O19+O20+O21+O22+O23+O24+O25+O26+O27)</f>
        <v>52252797</v>
      </c>
      <c r="P5" s="124">
        <v>0</v>
      </c>
      <c r="Q5" s="125">
        <f>5370738-220001</f>
        <v>5150737</v>
      </c>
      <c r="R5" s="125">
        <v>46932</v>
      </c>
      <c r="S5" s="125">
        <f>3299259-219981</f>
        <v>3079278</v>
      </c>
      <c r="T5" s="125">
        <v>48930</v>
      </c>
      <c r="U5" s="125">
        <f>3548061-219754</f>
        <v>3328307</v>
      </c>
      <c r="V5" s="125">
        <v>47738</v>
      </c>
      <c r="W5" s="125">
        <f>3469104-224672</f>
        <v>3244432</v>
      </c>
      <c r="X5" s="125">
        <v>62604</v>
      </c>
      <c r="Y5" s="125">
        <f>3434390-223882</f>
        <v>3210508</v>
      </c>
      <c r="Z5" s="125">
        <v>49628</v>
      </c>
      <c r="AA5" s="125">
        <f>3705688-247435</f>
        <v>3458253</v>
      </c>
      <c r="AB5" s="125">
        <v>48360</v>
      </c>
      <c r="AC5" s="125">
        <f>3240447-199305</f>
        <v>3041142</v>
      </c>
      <c r="AD5" s="125">
        <v>49709</v>
      </c>
      <c r="AE5" s="125">
        <f>4249573-199173</f>
        <v>4050400</v>
      </c>
      <c r="AF5" s="125">
        <v>48408</v>
      </c>
      <c r="AG5" s="125">
        <f>3625851-199173</f>
        <v>3426678</v>
      </c>
      <c r="AH5" s="125">
        <v>47862</v>
      </c>
      <c r="AI5" s="125">
        <f>3483376-199470</f>
        <v>3283906</v>
      </c>
      <c r="AJ5" s="125"/>
      <c r="AK5" s="125"/>
      <c r="AL5" s="126"/>
      <c r="AM5" s="126"/>
      <c r="AN5" s="125">
        <f>SUM(P5,R5,T5,V5,X5,Z5,AB5,AD5,AF5,AH5,AJ5,AL5)</f>
        <v>450171</v>
      </c>
      <c r="AO5" s="125">
        <f>SUM(Q5,S5,U5,W5,Y5,AA5,AC5,AE5,AG5,AI5,AK5,AM5)</f>
        <v>35273641</v>
      </c>
      <c r="AP5" s="126">
        <v>432904</v>
      </c>
      <c r="AQ5" s="180">
        <f>SUM(AN5:AP5)</f>
        <v>36156716</v>
      </c>
      <c r="AR5" s="181">
        <f>O5-AQ5</f>
        <v>16096081</v>
      </c>
      <c r="AS5" s="127">
        <v>0</v>
      </c>
      <c r="AT5" s="128">
        <f>AR5</f>
        <v>16096081</v>
      </c>
      <c r="AU5" s="128"/>
      <c r="AV5" s="128"/>
      <c r="AW5" s="129">
        <f>SUM(AS5:AV5)</f>
        <v>16096081</v>
      </c>
      <c r="AX5" s="130">
        <f>AW5-AR5</f>
        <v>0</v>
      </c>
      <c r="AY5" s="131">
        <f>AU5+AV5-AX5</f>
        <v>0</v>
      </c>
      <c r="AZ5" s="132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4">
        <f t="shared" ref="BV5:BV27" si="0">SUM(BA5:BU5)</f>
        <v>0</v>
      </c>
      <c r="BW5" s="135"/>
      <c r="BX5" s="136"/>
      <c r="BY5" s="137"/>
      <c r="BZ5" s="137"/>
      <c r="CA5" s="138"/>
      <c r="CB5" s="138"/>
      <c r="CC5" s="139"/>
      <c r="CD5" s="139"/>
      <c r="CE5" s="135"/>
      <c r="CF5" s="140"/>
      <c r="CG5" s="135"/>
      <c r="CH5" s="135"/>
      <c r="CI5" s="135"/>
      <c r="CJ5" s="135"/>
      <c r="CK5" s="135"/>
    </row>
    <row r="6" spans="1:89" s="141" customFormat="1" ht="60" customHeight="1">
      <c r="A6" s="119">
        <v>2</v>
      </c>
      <c r="B6" s="120" t="s">
        <v>38</v>
      </c>
      <c r="C6" s="121">
        <v>150000</v>
      </c>
      <c r="D6" s="122">
        <v>0</v>
      </c>
      <c r="E6" s="122">
        <v>0</v>
      </c>
      <c r="F6" s="122">
        <v>401318</v>
      </c>
      <c r="G6" s="122">
        <v>0</v>
      </c>
      <c r="H6" s="122">
        <v>160600</v>
      </c>
      <c r="I6" s="122">
        <v>0</v>
      </c>
      <c r="J6" s="122">
        <v>0</v>
      </c>
      <c r="K6" s="122">
        <v>0</v>
      </c>
      <c r="L6" s="122">
        <v>0</v>
      </c>
      <c r="M6" s="122">
        <v>0</v>
      </c>
      <c r="N6" s="122"/>
      <c r="O6" s="142">
        <f t="shared" ref="O6:O27" si="1">SUM(C6:N6)</f>
        <v>711918</v>
      </c>
      <c r="P6" s="124">
        <v>0</v>
      </c>
      <c r="Q6" s="125">
        <f>16842-1842</f>
        <v>15000</v>
      </c>
      <c r="R6" s="125">
        <v>2499</v>
      </c>
      <c r="S6" s="125">
        <f>31770-1842</f>
        <v>29928</v>
      </c>
      <c r="T6" s="125">
        <v>0</v>
      </c>
      <c r="U6" s="125">
        <f>12697-1842</f>
        <v>10855</v>
      </c>
      <c r="V6" s="125">
        <v>998</v>
      </c>
      <c r="W6" s="125">
        <f>32930-1842</f>
        <v>31088</v>
      </c>
      <c r="X6" s="125">
        <v>499</v>
      </c>
      <c r="Y6" s="125">
        <f>59191-1842</f>
        <v>57349</v>
      </c>
      <c r="Z6" s="125">
        <v>499</v>
      </c>
      <c r="AA6" s="125">
        <f>33184-1842</f>
        <v>31342</v>
      </c>
      <c r="AB6" s="125">
        <v>161099</v>
      </c>
      <c r="AC6" s="125">
        <f>19436-1842</f>
        <v>17594</v>
      </c>
      <c r="AD6" s="125">
        <v>499</v>
      </c>
      <c r="AE6" s="125">
        <f>45629-1842</f>
        <v>43787</v>
      </c>
      <c r="AF6" s="125">
        <v>499</v>
      </c>
      <c r="AG6" s="125">
        <f>20564-1842</f>
        <v>18722</v>
      </c>
      <c r="AH6" s="125"/>
      <c r="AI6" s="125"/>
      <c r="AJ6" s="125"/>
      <c r="AK6" s="125"/>
      <c r="AL6" s="126"/>
      <c r="AM6" s="126"/>
      <c r="AN6" s="125">
        <f t="shared" ref="AN6:AO27" si="2">SUM(P6,R6,T6,V6,X6,Z6,AB6,AD6,AF6,AH6,AJ6,AL6)</f>
        <v>166592</v>
      </c>
      <c r="AO6" s="125">
        <f t="shared" si="2"/>
        <v>255665</v>
      </c>
      <c r="AP6" s="126">
        <v>0</v>
      </c>
      <c r="AQ6" s="180">
        <f t="shared" ref="AQ6:AQ27" si="3">SUM(AN6:AP6)</f>
        <v>422257</v>
      </c>
      <c r="AR6" s="181">
        <f t="shared" ref="AR6:AR26" si="4">O6-AQ6</f>
        <v>289661</v>
      </c>
      <c r="AS6" s="127">
        <v>0</v>
      </c>
      <c r="AT6" s="128">
        <f>AR6</f>
        <v>289661</v>
      </c>
      <c r="AU6" s="128">
        <v>221</v>
      </c>
      <c r="AV6" s="143"/>
      <c r="AW6" s="129">
        <f>SUM(AS6:AV6)</f>
        <v>289882</v>
      </c>
      <c r="AX6" s="130">
        <f t="shared" ref="AX6:AX27" si="5">AW6-AR6</f>
        <v>221</v>
      </c>
      <c r="AY6" s="131">
        <f t="shared" ref="AY6:AY26" si="6">AU6+AV6-AX6</f>
        <v>0</v>
      </c>
      <c r="AZ6" s="132"/>
      <c r="BA6" s="133"/>
      <c r="BB6" s="133"/>
      <c r="BC6" s="133"/>
      <c r="BD6" s="133"/>
      <c r="BE6" s="133"/>
      <c r="BF6" s="133"/>
      <c r="BG6" s="133"/>
      <c r="BH6" s="133"/>
      <c r="BI6" s="133"/>
      <c r="BJ6" s="133"/>
      <c r="BK6" s="133"/>
      <c r="BL6" s="133"/>
      <c r="BM6" s="133"/>
      <c r="BN6" s="133"/>
      <c r="BO6" s="133"/>
      <c r="BP6" s="133"/>
      <c r="BQ6" s="133"/>
      <c r="BR6" s="133"/>
      <c r="BS6" s="133"/>
      <c r="BT6" s="133"/>
      <c r="BU6" s="133"/>
      <c r="BV6" s="134">
        <f t="shared" si="0"/>
        <v>0</v>
      </c>
      <c r="BW6" s="135"/>
      <c r="BX6" s="139">
        <v>1</v>
      </c>
      <c r="BY6" s="139" t="s">
        <v>38</v>
      </c>
      <c r="BZ6" s="139"/>
      <c r="CA6" s="138"/>
      <c r="CB6" s="138"/>
      <c r="CC6" s="138"/>
      <c r="CD6" s="144"/>
      <c r="CE6" s="135"/>
      <c r="CF6" s="140">
        <f t="shared" ref="CF6:CF27" si="7">AW6-CC6</f>
        <v>289882</v>
      </c>
      <c r="CG6" s="135"/>
      <c r="CH6" s="135"/>
      <c r="CI6" s="135"/>
      <c r="CJ6" s="135"/>
      <c r="CK6" s="135"/>
    </row>
    <row r="7" spans="1:89" s="141" customFormat="1" ht="60" customHeight="1">
      <c r="A7" s="119">
        <v>3</v>
      </c>
      <c r="B7" s="120" t="s">
        <v>1</v>
      </c>
      <c r="C7" s="121">
        <v>150000</v>
      </c>
      <c r="D7" s="122">
        <v>0</v>
      </c>
      <c r="E7" s="122">
        <v>0</v>
      </c>
      <c r="F7" s="122">
        <v>670870</v>
      </c>
      <c r="G7" s="122">
        <v>0</v>
      </c>
      <c r="H7" s="122">
        <v>0</v>
      </c>
      <c r="I7" s="122">
        <v>42800</v>
      </c>
      <c r="J7" s="122">
        <v>0</v>
      </c>
      <c r="K7" s="122">
        <v>0</v>
      </c>
      <c r="L7" s="122">
        <v>0</v>
      </c>
      <c r="M7" s="122">
        <v>0</v>
      </c>
      <c r="N7" s="122"/>
      <c r="O7" s="142">
        <f t="shared" si="1"/>
        <v>863670</v>
      </c>
      <c r="P7" s="124">
        <v>0</v>
      </c>
      <c r="Q7" s="125">
        <f>1820-1820</f>
        <v>0</v>
      </c>
      <c r="R7" s="125">
        <v>499</v>
      </c>
      <c r="S7" s="125">
        <f>43292-1820</f>
        <v>41472</v>
      </c>
      <c r="T7" s="125">
        <v>10499</v>
      </c>
      <c r="U7" s="125">
        <f>41175-1820</f>
        <v>39355</v>
      </c>
      <c r="V7" s="125">
        <v>10499</v>
      </c>
      <c r="W7" s="125">
        <f>41331-1820</f>
        <v>39511</v>
      </c>
      <c r="X7" s="125">
        <v>10499</v>
      </c>
      <c r="Y7" s="125">
        <f>43455-1820</f>
        <v>41635</v>
      </c>
      <c r="Z7" s="125">
        <v>499</v>
      </c>
      <c r="AA7" s="125">
        <f>29567-1820</f>
        <v>27747</v>
      </c>
      <c r="AB7" s="125">
        <v>1525</v>
      </c>
      <c r="AC7" s="125">
        <f>43573-1820</f>
        <v>41753</v>
      </c>
      <c r="AD7" s="125">
        <v>43299</v>
      </c>
      <c r="AE7" s="125">
        <f>47180-1820</f>
        <v>45360</v>
      </c>
      <c r="AF7" s="125">
        <v>3201</v>
      </c>
      <c r="AG7" s="125">
        <f>34351-1820</f>
        <v>32531</v>
      </c>
      <c r="AH7" s="125"/>
      <c r="AI7" s="125"/>
      <c r="AJ7" s="125"/>
      <c r="AK7" s="125"/>
      <c r="AL7" s="126"/>
      <c r="AM7" s="126"/>
      <c r="AN7" s="125">
        <f t="shared" si="2"/>
        <v>80520</v>
      </c>
      <c r="AO7" s="125">
        <f t="shared" si="2"/>
        <v>309364</v>
      </c>
      <c r="AP7" s="126">
        <v>0</v>
      </c>
      <c r="AQ7" s="180">
        <f t="shared" si="3"/>
        <v>389884</v>
      </c>
      <c r="AR7" s="181">
        <f t="shared" si="4"/>
        <v>473786</v>
      </c>
      <c r="AS7" s="127">
        <v>0</v>
      </c>
      <c r="AT7" s="128">
        <f t="shared" ref="AT7:AT27" si="8">AR7</f>
        <v>473786</v>
      </c>
      <c r="AU7" s="128">
        <v>151</v>
      </c>
      <c r="AV7" s="143"/>
      <c r="AW7" s="129">
        <f t="shared" ref="AW7:AW28" si="9">SUM(AS7:AV7)</f>
        <v>473937</v>
      </c>
      <c r="AX7" s="130">
        <f t="shared" si="5"/>
        <v>151</v>
      </c>
      <c r="AY7" s="131">
        <f t="shared" si="6"/>
        <v>0</v>
      </c>
      <c r="AZ7" s="132"/>
      <c r="BA7" s="133"/>
      <c r="BB7" s="133"/>
      <c r="BC7" s="133"/>
      <c r="BD7" s="133"/>
      <c r="BE7" s="133"/>
      <c r="BF7" s="133"/>
      <c r="BG7" s="133"/>
      <c r="BH7" s="133"/>
      <c r="BI7" s="133"/>
      <c r="BJ7" s="133"/>
      <c r="BK7" s="133"/>
      <c r="BL7" s="133"/>
      <c r="BM7" s="133"/>
      <c r="BN7" s="133"/>
      <c r="BO7" s="133"/>
      <c r="BP7" s="133"/>
      <c r="BQ7" s="133"/>
      <c r="BR7" s="133"/>
      <c r="BS7" s="133"/>
      <c r="BT7" s="133"/>
      <c r="BU7" s="133"/>
      <c r="BV7" s="134">
        <f t="shared" si="0"/>
        <v>0</v>
      </c>
      <c r="BW7" s="135"/>
      <c r="BX7" s="139">
        <v>2</v>
      </c>
      <c r="BY7" s="139" t="s">
        <v>85</v>
      </c>
      <c r="BZ7" s="139"/>
      <c r="CA7" s="138"/>
      <c r="CB7" s="138"/>
      <c r="CC7" s="138"/>
      <c r="CD7" s="144"/>
      <c r="CE7" s="135"/>
      <c r="CF7" s="140">
        <f t="shared" si="7"/>
        <v>473937</v>
      </c>
      <c r="CG7" s="135"/>
      <c r="CH7" s="135"/>
      <c r="CI7" s="135"/>
      <c r="CJ7" s="135"/>
      <c r="CK7" s="135"/>
    </row>
    <row r="8" spans="1:89" s="141" customFormat="1" ht="60" customHeight="1">
      <c r="A8" s="119">
        <v>4</v>
      </c>
      <c r="B8" s="120" t="s">
        <v>2</v>
      </c>
      <c r="C8" s="121">
        <v>150000</v>
      </c>
      <c r="D8" s="122">
        <v>0</v>
      </c>
      <c r="E8" s="122">
        <v>0</v>
      </c>
      <c r="F8" s="122">
        <v>550158</v>
      </c>
      <c r="G8" s="122">
        <v>0</v>
      </c>
      <c r="H8" s="122">
        <v>380300</v>
      </c>
      <c r="I8" s="122">
        <v>0</v>
      </c>
      <c r="J8" s="122">
        <v>0</v>
      </c>
      <c r="K8" s="122">
        <v>0</v>
      </c>
      <c r="L8" s="122">
        <v>0</v>
      </c>
      <c r="M8" s="122">
        <v>1225000</v>
      </c>
      <c r="N8" s="122"/>
      <c r="O8" s="142">
        <f t="shared" si="1"/>
        <v>2305458</v>
      </c>
      <c r="P8" s="124">
        <v>1999</v>
      </c>
      <c r="Q8" s="125">
        <f>16500-0</f>
        <v>16500</v>
      </c>
      <c r="R8" s="125">
        <v>0</v>
      </c>
      <c r="S8" s="125">
        <f>37317-0</f>
        <v>37317</v>
      </c>
      <c r="T8" s="125">
        <v>998</v>
      </c>
      <c r="U8" s="125">
        <f>43030-0</f>
        <v>43030</v>
      </c>
      <c r="V8" s="125">
        <v>0</v>
      </c>
      <c r="W8" s="125">
        <f>16500-0</f>
        <v>16500</v>
      </c>
      <c r="X8" s="125">
        <v>679</v>
      </c>
      <c r="Y8" s="125">
        <f>50196-0</f>
        <v>50196</v>
      </c>
      <c r="Z8" s="125">
        <v>499</v>
      </c>
      <c r="AA8" s="125">
        <f>46094-0</f>
        <v>46094</v>
      </c>
      <c r="AB8" s="125">
        <v>359299</v>
      </c>
      <c r="AC8" s="125">
        <f>39599-0</f>
        <v>39599</v>
      </c>
      <c r="AD8" s="125">
        <v>30499</v>
      </c>
      <c r="AE8" s="125">
        <f>38763-0</f>
        <v>38763</v>
      </c>
      <c r="AF8" s="125">
        <v>24000</v>
      </c>
      <c r="AG8" s="125">
        <f>20803-0</f>
        <v>20803</v>
      </c>
      <c r="AH8" s="125"/>
      <c r="AI8" s="125"/>
      <c r="AJ8" s="125"/>
      <c r="AK8" s="125"/>
      <c r="AL8" s="126"/>
      <c r="AM8" s="126"/>
      <c r="AN8" s="125">
        <f t="shared" si="2"/>
        <v>417973</v>
      </c>
      <c r="AO8" s="125">
        <f t="shared" si="2"/>
        <v>308802</v>
      </c>
      <c r="AP8" s="126">
        <v>0</v>
      </c>
      <c r="AQ8" s="180">
        <f t="shared" si="3"/>
        <v>726775</v>
      </c>
      <c r="AR8" s="182">
        <f t="shared" si="4"/>
        <v>1578683</v>
      </c>
      <c r="AS8" s="127">
        <v>0</v>
      </c>
      <c r="AT8" s="128">
        <f t="shared" si="8"/>
        <v>1578683</v>
      </c>
      <c r="AU8" s="128">
        <v>62</v>
      </c>
      <c r="AV8" s="143"/>
      <c r="AW8" s="179">
        <f t="shared" si="9"/>
        <v>1578745</v>
      </c>
      <c r="AX8" s="130">
        <f t="shared" si="5"/>
        <v>62</v>
      </c>
      <c r="AY8" s="131">
        <f t="shared" si="6"/>
        <v>0</v>
      </c>
      <c r="AZ8" s="132"/>
      <c r="BA8" s="133"/>
      <c r="BB8" s="133"/>
      <c r="BC8" s="133"/>
      <c r="BD8" s="133"/>
      <c r="BE8" s="133"/>
      <c r="BF8" s="133"/>
      <c r="BG8" s="133"/>
      <c r="BH8" s="133"/>
      <c r="BI8" s="133"/>
      <c r="BJ8" s="133"/>
      <c r="BK8" s="133"/>
      <c r="BL8" s="133"/>
      <c r="BM8" s="133"/>
      <c r="BN8" s="133"/>
      <c r="BO8" s="133"/>
      <c r="BP8" s="133"/>
      <c r="BQ8" s="133"/>
      <c r="BR8" s="133"/>
      <c r="BS8" s="133"/>
      <c r="BT8" s="133"/>
      <c r="BU8" s="133"/>
      <c r="BV8" s="134">
        <f t="shared" si="0"/>
        <v>0</v>
      </c>
      <c r="BW8" s="135"/>
      <c r="BX8" s="139">
        <v>3</v>
      </c>
      <c r="BY8" s="139" t="s">
        <v>2</v>
      </c>
      <c r="BZ8" s="145"/>
      <c r="CA8" s="138"/>
      <c r="CB8" s="138"/>
      <c r="CC8" s="138"/>
      <c r="CD8" s="146"/>
      <c r="CE8" s="135"/>
      <c r="CF8" s="140">
        <f t="shared" si="7"/>
        <v>1578745</v>
      </c>
      <c r="CG8" s="135"/>
      <c r="CH8" s="135"/>
      <c r="CI8" s="135"/>
      <c r="CJ8" s="135"/>
      <c r="CK8" s="135"/>
    </row>
    <row r="9" spans="1:89" s="141" customFormat="1" ht="60" customHeight="1">
      <c r="A9" s="147">
        <v>5</v>
      </c>
      <c r="B9" s="148" t="s">
        <v>3</v>
      </c>
      <c r="C9" s="121">
        <v>150000</v>
      </c>
      <c r="D9" s="122">
        <v>0</v>
      </c>
      <c r="E9" s="122">
        <v>0</v>
      </c>
      <c r="F9" s="122">
        <v>670118</v>
      </c>
      <c r="G9" s="122">
        <v>0</v>
      </c>
      <c r="H9" s="122">
        <v>291800</v>
      </c>
      <c r="I9" s="122">
        <v>0</v>
      </c>
      <c r="J9" s="122">
        <v>0</v>
      </c>
      <c r="K9" s="122">
        <v>0</v>
      </c>
      <c r="L9" s="122">
        <v>0</v>
      </c>
      <c r="M9" s="122">
        <v>0</v>
      </c>
      <c r="N9" s="122"/>
      <c r="O9" s="142">
        <f t="shared" si="1"/>
        <v>1111918</v>
      </c>
      <c r="P9" s="124">
        <v>0</v>
      </c>
      <c r="Q9" s="125">
        <f>21409-7909</f>
        <v>13500</v>
      </c>
      <c r="R9" s="125">
        <v>450</v>
      </c>
      <c r="S9" s="125">
        <f>40527-7909</f>
        <v>32618</v>
      </c>
      <c r="T9" s="125">
        <v>0</v>
      </c>
      <c r="U9" s="125">
        <f>23729-7909</f>
        <v>15820</v>
      </c>
      <c r="V9" s="125">
        <v>0</v>
      </c>
      <c r="W9" s="125">
        <f>7906-7906</f>
        <v>0</v>
      </c>
      <c r="X9" s="125">
        <v>2747</v>
      </c>
      <c r="Y9" s="125">
        <f>121010-6786</f>
        <v>114224</v>
      </c>
      <c r="Z9" s="125">
        <v>1799</v>
      </c>
      <c r="AA9" s="125">
        <f>42102-6786</f>
        <v>35316</v>
      </c>
      <c r="AB9" s="125">
        <v>1149</v>
      </c>
      <c r="AC9" s="125">
        <f>42176-6786</f>
        <v>35390</v>
      </c>
      <c r="AD9" s="125">
        <v>1149</v>
      </c>
      <c r="AE9" s="125">
        <f>33120-6786</f>
        <v>26334</v>
      </c>
      <c r="AF9" s="125">
        <v>292949</v>
      </c>
      <c r="AG9" s="125">
        <f>35849-6786</f>
        <v>29063</v>
      </c>
      <c r="AH9" s="125"/>
      <c r="AI9" s="125"/>
      <c r="AJ9" s="125"/>
      <c r="AK9" s="125"/>
      <c r="AL9" s="126"/>
      <c r="AM9" s="126"/>
      <c r="AN9" s="125">
        <f t="shared" si="2"/>
        <v>300243</v>
      </c>
      <c r="AO9" s="125">
        <f t="shared" si="2"/>
        <v>302265</v>
      </c>
      <c r="AP9" s="126">
        <v>0</v>
      </c>
      <c r="AQ9" s="180">
        <f t="shared" si="3"/>
        <v>602508</v>
      </c>
      <c r="AR9" s="182">
        <f t="shared" si="4"/>
        <v>509410</v>
      </c>
      <c r="AS9" s="127">
        <v>0</v>
      </c>
      <c r="AT9" s="128">
        <f t="shared" si="8"/>
        <v>509410</v>
      </c>
      <c r="AU9" s="128">
        <v>441</v>
      </c>
      <c r="AV9" s="143"/>
      <c r="AW9" s="179">
        <f t="shared" si="9"/>
        <v>509851</v>
      </c>
      <c r="AX9" s="130">
        <f t="shared" si="5"/>
        <v>441</v>
      </c>
      <c r="AY9" s="131">
        <f t="shared" si="6"/>
        <v>0</v>
      </c>
      <c r="AZ9" s="132"/>
      <c r="BA9" s="133"/>
      <c r="BB9" s="133"/>
      <c r="BC9" s="133"/>
      <c r="BD9" s="133"/>
      <c r="BE9" s="133"/>
      <c r="BF9" s="133"/>
      <c r="BG9" s="133"/>
      <c r="BH9" s="133"/>
      <c r="BI9" s="133"/>
      <c r="BJ9" s="133"/>
      <c r="BK9" s="133"/>
      <c r="BL9" s="133"/>
      <c r="BM9" s="133"/>
      <c r="BN9" s="133"/>
      <c r="BO9" s="133"/>
      <c r="BP9" s="133"/>
      <c r="BQ9" s="133"/>
      <c r="BR9" s="133"/>
      <c r="BS9" s="133"/>
      <c r="BT9" s="133"/>
      <c r="BU9" s="133"/>
      <c r="BV9" s="134">
        <f t="shared" si="0"/>
        <v>0</v>
      </c>
      <c r="BW9" s="135"/>
      <c r="BX9" s="139">
        <v>4</v>
      </c>
      <c r="BY9" s="139" t="s">
        <v>3</v>
      </c>
      <c r="BZ9" s="149"/>
      <c r="CA9" s="138"/>
      <c r="CB9" s="138"/>
      <c r="CC9" s="138"/>
      <c r="CD9" s="146"/>
      <c r="CE9" s="135"/>
      <c r="CF9" s="140">
        <f t="shared" si="7"/>
        <v>509851</v>
      </c>
      <c r="CG9" s="135"/>
      <c r="CH9" s="135"/>
      <c r="CI9" s="135"/>
      <c r="CJ9" s="135"/>
      <c r="CK9" s="135"/>
    </row>
    <row r="10" spans="1:89" s="141" customFormat="1" ht="60" customHeight="1">
      <c r="A10" s="147">
        <v>6</v>
      </c>
      <c r="B10" s="148" t="s">
        <v>4</v>
      </c>
      <c r="C10" s="121">
        <v>150000</v>
      </c>
      <c r="D10" s="122">
        <v>0</v>
      </c>
      <c r="E10" s="122">
        <v>0</v>
      </c>
      <c r="F10" s="122">
        <v>247378</v>
      </c>
      <c r="G10" s="122">
        <v>0</v>
      </c>
      <c r="H10" s="122">
        <v>83600</v>
      </c>
      <c r="I10" s="122">
        <v>0</v>
      </c>
      <c r="J10" s="122">
        <v>0</v>
      </c>
      <c r="K10" s="122">
        <v>0</v>
      </c>
      <c r="L10" s="122">
        <v>0</v>
      </c>
      <c r="M10" s="122">
        <v>0</v>
      </c>
      <c r="N10" s="122"/>
      <c r="O10" s="142">
        <f t="shared" si="1"/>
        <v>480978</v>
      </c>
      <c r="P10" s="124">
        <v>0</v>
      </c>
      <c r="Q10" s="125">
        <f>21599-4231</f>
        <v>17368</v>
      </c>
      <c r="R10" s="125">
        <v>499</v>
      </c>
      <c r="S10" s="125">
        <f>25867-4231</f>
        <v>21636</v>
      </c>
      <c r="T10" s="125">
        <v>0</v>
      </c>
      <c r="U10" s="125">
        <f>22294-4231</f>
        <v>18063</v>
      </c>
      <c r="V10" s="125">
        <v>0</v>
      </c>
      <c r="W10" s="125">
        <f>4231-4231</f>
        <v>0</v>
      </c>
      <c r="X10" s="125">
        <v>1497</v>
      </c>
      <c r="Y10" s="125">
        <f>58398-4231</f>
        <v>54167</v>
      </c>
      <c r="Z10" s="125">
        <v>499</v>
      </c>
      <c r="AA10" s="125">
        <f>45489-4231</f>
        <v>41258</v>
      </c>
      <c r="AB10" s="125">
        <v>84099</v>
      </c>
      <c r="AC10" s="125">
        <f>29542-4231</f>
        <v>25311</v>
      </c>
      <c r="AD10" s="125">
        <v>499</v>
      </c>
      <c r="AE10" s="125">
        <f>29170-4231</f>
        <v>24939</v>
      </c>
      <c r="AF10" s="125">
        <v>499</v>
      </c>
      <c r="AG10" s="125">
        <f>22914-4231</f>
        <v>18683</v>
      </c>
      <c r="AH10" s="125"/>
      <c r="AI10" s="125"/>
      <c r="AJ10" s="125"/>
      <c r="AK10" s="125"/>
      <c r="AL10" s="126"/>
      <c r="AM10" s="126"/>
      <c r="AN10" s="125">
        <f t="shared" si="2"/>
        <v>87592</v>
      </c>
      <c r="AO10" s="125">
        <f t="shared" si="2"/>
        <v>221425</v>
      </c>
      <c r="AP10" s="126">
        <v>0</v>
      </c>
      <c r="AQ10" s="180">
        <f t="shared" si="3"/>
        <v>309017</v>
      </c>
      <c r="AR10" s="182">
        <f t="shared" si="4"/>
        <v>171961</v>
      </c>
      <c r="AS10" s="127">
        <v>0</v>
      </c>
      <c r="AT10" s="128">
        <f t="shared" si="8"/>
        <v>171961</v>
      </c>
      <c r="AU10" s="128">
        <v>122</v>
      </c>
      <c r="AV10" s="143"/>
      <c r="AW10" s="179">
        <f t="shared" si="9"/>
        <v>172083</v>
      </c>
      <c r="AX10" s="130">
        <f t="shared" si="5"/>
        <v>122</v>
      </c>
      <c r="AY10" s="131">
        <f t="shared" si="6"/>
        <v>0</v>
      </c>
      <c r="AZ10" s="132"/>
      <c r="BA10" s="133"/>
      <c r="BB10" s="133"/>
      <c r="BC10" s="133"/>
      <c r="BD10" s="133"/>
      <c r="BE10" s="133"/>
      <c r="BF10" s="133"/>
      <c r="BG10" s="133"/>
      <c r="BH10" s="133"/>
      <c r="BI10" s="133"/>
      <c r="BJ10" s="133"/>
      <c r="BK10" s="133"/>
      <c r="BL10" s="133"/>
      <c r="BM10" s="133"/>
      <c r="BN10" s="133"/>
      <c r="BO10" s="133"/>
      <c r="BP10" s="133"/>
      <c r="BQ10" s="133"/>
      <c r="BR10" s="133"/>
      <c r="BS10" s="133"/>
      <c r="BT10" s="133"/>
      <c r="BU10" s="133"/>
      <c r="BV10" s="134">
        <f t="shared" si="0"/>
        <v>0</v>
      </c>
      <c r="BW10" s="135"/>
      <c r="BX10" s="139">
        <v>5</v>
      </c>
      <c r="BY10" s="139" t="s">
        <v>4</v>
      </c>
      <c r="BZ10" s="139"/>
      <c r="CA10" s="138"/>
      <c r="CB10" s="138"/>
      <c r="CC10" s="138"/>
      <c r="CD10" s="144"/>
      <c r="CE10" s="135"/>
      <c r="CF10" s="140">
        <f t="shared" si="7"/>
        <v>172083</v>
      </c>
      <c r="CG10" s="135"/>
      <c r="CH10" s="135"/>
      <c r="CI10" s="135"/>
      <c r="CJ10" s="135"/>
      <c r="CK10" s="135"/>
    </row>
    <row r="11" spans="1:89" s="141" customFormat="1" ht="60" customHeight="1">
      <c r="A11" s="119">
        <v>7</v>
      </c>
      <c r="B11" s="120" t="s">
        <v>5</v>
      </c>
      <c r="C11" s="121">
        <v>150000</v>
      </c>
      <c r="D11" s="122">
        <v>0</v>
      </c>
      <c r="E11" s="122">
        <v>0</v>
      </c>
      <c r="F11" s="122">
        <v>240778</v>
      </c>
      <c r="G11" s="122">
        <v>0</v>
      </c>
      <c r="H11" s="122">
        <v>8800</v>
      </c>
      <c r="I11" s="122">
        <v>0</v>
      </c>
      <c r="J11" s="122">
        <v>0</v>
      </c>
      <c r="K11" s="122">
        <v>0</v>
      </c>
      <c r="L11" s="122">
        <v>0</v>
      </c>
      <c r="M11" s="122">
        <v>0</v>
      </c>
      <c r="N11" s="122"/>
      <c r="O11" s="142">
        <f t="shared" si="1"/>
        <v>399578</v>
      </c>
      <c r="P11" s="124">
        <v>2000</v>
      </c>
      <c r="Q11" s="125">
        <f>15816-0</f>
        <v>15816</v>
      </c>
      <c r="R11" s="125">
        <v>0</v>
      </c>
      <c r="S11" s="125">
        <f>18299-0</f>
        <v>18299</v>
      </c>
      <c r="T11" s="125">
        <v>998</v>
      </c>
      <c r="U11" s="125">
        <f>23879-0</f>
        <v>23879</v>
      </c>
      <c r="V11" s="125">
        <v>0</v>
      </c>
      <c r="W11" s="125">
        <f>18823-0</f>
        <v>18823</v>
      </c>
      <c r="X11" s="125">
        <v>499</v>
      </c>
      <c r="Y11" s="125">
        <f>26956-0</f>
        <v>26956</v>
      </c>
      <c r="Z11" s="125">
        <v>499</v>
      </c>
      <c r="AA11" s="125">
        <f>25500-0</f>
        <v>25500</v>
      </c>
      <c r="AB11" s="125">
        <v>9299</v>
      </c>
      <c r="AC11" s="125">
        <f>22731-0</f>
        <v>22731</v>
      </c>
      <c r="AD11" s="125">
        <v>499</v>
      </c>
      <c r="AE11" s="125">
        <f>29456-0</f>
        <v>29456</v>
      </c>
      <c r="AF11" s="125">
        <v>499</v>
      </c>
      <c r="AG11" s="125">
        <f>22150-0</f>
        <v>22150</v>
      </c>
      <c r="AH11" s="125"/>
      <c r="AI11" s="125"/>
      <c r="AJ11" s="125"/>
      <c r="AK11" s="125"/>
      <c r="AL11" s="126"/>
      <c r="AM11" s="126"/>
      <c r="AN11" s="125">
        <f t="shared" si="2"/>
        <v>14293</v>
      </c>
      <c r="AO11" s="125">
        <f t="shared" si="2"/>
        <v>203610</v>
      </c>
      <c r="AP11" s="126">
        <v>0</v>
      </c>
      <c r="AQ11" s="180">
        <f t="shared" si="3"/>
        <v>217903</v>
      </c>
      <c r="AR11" s="181">
        <f t="shared" si="4"/>
        <v>181675</v>
      </c>
      <c r="AS11" s="127">
        <v>0</v>
      </c>
      <c r="AT11" s="128">
        <f t="shared" si="8"/>
        <v>181675</v>
      </c>
      <c r="AU11" s="128">
        <v>204</v>
      </c>
      <c r="AV11" s="143"/>
      <c r="AW11" s="179">
        <f t="shared" si="9"/>
        <v>181879</v>
      </c>
      <c r="AX11" s="130">
        <f t="shared" si="5"/>
        <v>204</v>
      </c>
      <c r="AY11" s="131">
        <f t="shared" si="6"/>
        <v>0</v>
      </c>
      <c r="AZ11" s="132"/>
      <c r="BA11" s="133"/>
      <c r="BB11" s="133"/>
      <c r="BC11" s="133"/>
      <c r="BD11" s="133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33"/>
      <c r="BT11" s="133"/>
      <c r="BU11" s="133"/>
      <c r="BV11" s="134">
        <f t="shared" si="0"/>
        <v>0</v>
      </c>
      <c r="BW11" s="135"/>
      <c r="BX11" s="139">
        <v>6</v>
      </c>
      <c r="BY11" s="139" t="s">
        <v>5</v>
      </c>
      <c r="BZ11" s="139"/>
      <c r="CA11" s="138"/>
      <c r="CB11" s="138"/>
      <c r="CC11" s="138"/>
      <c r="CD11" s="144"/>
      <c r="CE11" s="135"/>
      <c r="CF11" s="140">
        <f t="shared" si="7"/>
        <v>181879</v>
      </c>
      <c r="CG11" s="135"/>
      <c r="CH11" s="135"/>
      <c r="CI11" s="135"/>
      <c r="CJ11" s="135"/>
      <c r="CK11" s="135"/>
    </row>
    <row r="12" spans="1:89" s="141" customFormat="1" ht="60" customHeight="1">
      <c r="A12" s="119">
        <v>8</v>
      </c>
      <c r="B12" s="120" t="s">
        <v>39</v>
      </c>
      <c r="C12" s="121">
        <v>150000</v>
      </c>
      <c r="D12" s="122">
        <v>0</v>
      </c>
      <c r="E12" s="122">
        <v>0</v>
      </c>
      <c r="F12" s="122">
        <v>412398</v>
      </c>
      <c r="G12" s="122">
        <v>0</v>
      </c>
      <c r="H12" s="122">
        <v>437600</v>
      </c>
      <c r="I12" s="122">
        <v>0</v>
      </c>
      <c r="J12" s="122">
        <v>0</v>
      </c>
      <c r="K12" s="122">
        <v>0</v>
      </c>
      <c r="L12" s="122">
        <v>0</v>
      </c>
      <c r="M12" s="122">
        <v>0</v>
      </c>
      <c r="N12" s="122"/>
      <c r="O12" s="142">
        <f t="shared" si="1"/>
        <v>999998</v>
      </c>
      <c r="P12" s="124">
        <v>0</v>
      </c>
      <c r="Q12" s="125">
        <f>16000-0</f>
        <v>16000</v>
      </c>
      <c r="R12" s="125">
        <v>2000</v>
      </c>
      <c r="S12" s="125">
        <f>18622-0</f>
        <v>18622</v>
      </c>
      <c r="T12" s="125">
        <v>499</v>
      </c>
      <c r="U12" s="125">
        <f>37286-0</f>
        <v>37286</v>
      </c>
      <c r="V12" s="125">
        <v>499</v>
      </c>
      <c r="W12" s="125">
        <f>24884-0</f>
        <v>24884</v>
      </c>
      <c r="X12" s="125">
        <v>998</v>
      </c>
      <c r="Y12" s="125">
        <f>62853-0</f>
        <v>62853</v>
      </c>
      <c r="Z12" s="125">
        <v>0</v>
      </c>
      <c r="AA12" s="125">
        <f>38895-0</f>
        <v>38895</v>
      </c>
      <c r="AB12" s="125">
        <v>499</v>
      </c>
      <c r="AC12" s="125">
        <f>62582-0</f>
        <v>62582</v>
      </c>
      <c r="AD12" s="125">
        <v>438099</v>
      </c>
      <c r="AE12" s="125">
        <f>39156-0</f>
        <v>39156</v>
      </c>
      <c r="AF12" s="125">
        <v>499</v>
      </c>
      <c r="AG12" s="125">
        <f>40685-0</f>
        <v>40685</v>
      </c>
      <c r="AH12" s="125"/>
      <c r="AI12" s="125"/>
      <c r="AJ12" s="125"/>
      <c r="AK12" s="125"/>
      <c r="AL12" s="126"/>
      <c r="AM12" s="126"/>
      <c r="AN12" s="125">
        <f t="shared" si="2"/>
        <v>443093</v>
      </c>
      <c r="AO12" s="125">
        <f t="shared" si="2"/>
        <v>340963</v>
      </c>
      <c r="AP12" s="126">
        <v>0</v>
      </c>
      <c r="AQ12" s="180">
        <f t="shared" si="3"/>
        <v>784056</v>
      </c>
      <c r="AR12" s="182">
        <f t="shared" si="4"/>
        <v>215942</v>
      </c>
      <c r="AS12" s="127">
        <v>0</v>
      </c>
      <c r="AT12" s="128">
        <f t="shared" si="8"/>
        <v>215942</v>
      </c>
      <c r="AU12" s="128">
        <v>872</v>
      </c>
      <c r="AV12" s="143"/>
      <c r="AW12" s="179">
        <f t="shared" si="9"/>
        <v>216814</v>
      </c>
      <c r="AX12" s="130">
        <f t="shared" si="5"/>
        <v>872</v>
      </c>
      <c r="AY12" s="131">
        <f t="shared" si="6"/>
        <v>0</v>
      </c>
      <c r="AZ12" s="132"/>
      <c r="BA12" s="133"/>
      <c r="BB12" s="133"/>
      <c r="BC12" s="133"/>
      <c r="BD12" s="133"/>
      <c r="BE12" s="133"/>
      <c r="BF12" s="133"/>
      <c r="BG12" s="133"/>
      <c r="BH12" s="133"/>
      <c r="BI12" s="133"/>
      <c r="BJ12" s="133"/>
      <c r="BK12" s="133"/>
      <c r="BL12" s="133"/>
      <c r="BM12" s="133"/>
      <c r="BN12" s="133"/>
      <c r="BO12" s="133"/>
      <c r="BP12" s="133"/>
      <c r="BQ12" s="133"/>
      <c r="BR12" s="133"/>
      <c r="BS12" s="133"/>
      <c r="BT12" s="133"/>
      <c r="BU12" s="133"/>
      <c r="BV12" s="134">
        <f t="shared" si="0"/>
        <v>0</v>
      </c>
      <c r="BW12" s="135"/>
      <c r="BX12" s="139">
        <v>7</v>
      </c>
      <c r="BY12" s="139" t="s">
        <v>39</v>
      </c>
      <c r="BZ12" s="139"/>
      <c r="CA12" s="138"/>
      <c r="CB12" s="138"/>
      <c r="CC12" s="138"/>
      <c r="CD12" s="144"/>
      <c r="CE12" s="135"/>
      <c r="CF12" s="140">
        <f t="shared" si="7"/>
        <v>216814</v>
      </c>
      <c r="CG12" s="135"/>
      <c r="CH12" s="135"/>
      <c r="CI12" s="135"/>
      <c r="CJ12" s="135"/>
      <c r="CK12" s="135"/>
    </row>
    <row r="13" spans="1:89" s="141" customFormat="1" ht="60" customHeight="1">
      <c r="A13" s="147">
        <v>9</v>
      </c>
      <c r="B13" s="148" t="s">
        <v>6</v>
      </c>
      <c r="C13" s="121">
        <v>150000</v>
      </c>
      <c r="D13" s="122">
        <v>0</v>
      </c>
      <c r="E13" s="122">
        <v>0</v>
      </c>
      <c r="F13" s="122">
        <v>257358</v>
      </c>
      <c r="G13" s="122">
        <v>0</v>
      </c>
      <c r="H13" s="122">
        <v>110400</v>
      </c>
      <c r="I13" s="122">
        <v>0</v>
      </c>
      <c r="J13" s="122">
        <v>0</v>
      </c>
      <c r="K13" s="122">
        <v>0</v>
      </c>
      <c r="L13" s="122">
        <v>205500</v>
      </c>
      <c r="M13" s="122">
        <v>0</v>
      </c>
      <c r="N13" s="122"/>
      <c r="O13" s="142">
        <f t="shared" si="1"/>
        <v>723258</v>
      </c>
      <c r="P13" s="124">
        <v>0</v>
      </c>
      <c r="Q13" s="125">
        <f>0-0</f>
        <v>0</v>
      </c>
      <c r="R13" s="125">
        <v>2499</v>
      </c>
      <c r="S13" s="125">
        <f>55937-0</f>
        <v>55937</v>
      </c>
      <c r="T13" s="125">
        <v>0</v>
      </c>
      <c r="U13" s="125">
        <f>6533-0</f>
        <v>6533</v>
      </c>
      <c r="V13" s="125">
        <v>998</v>
      </c>
      <c r="W13" s="125">
        <f>51595-0</f>
        <v>51595</v>
      </c>
      <c r="X13" s="125">
        <v>499</v>
      </c>
      <c r="Y13" s="125">
        <f>19649-0</f>
        <v>19649</v>
      </c>
      <c r="Z13" s="125">
        <v>110899</v>
      </c>
      <c r="AA13" s="125">
        <f>29569-0</f>
        <v>29569</v>
      </c>
      <c r="AB13" s="125">
        <v>499</v>
      </c>
      <c r="AC13" s="125">
        <f>23848-0</f>
        <v>23848</v>
      </c>
      <c r="AD13" s="125">
        <v>499</v>
      </c>
      <c r="AE13" s="125">
        <f>20273-0</f>
        <v>20273</v>
      </c>
      <c r="AF13" s="125">
        <v>499</v>
      </c>
      <c r="AG13" s="125">
        <f>46134-0</f>
        <v>46134</v>
      </c>
      <c r="AH13" s="125"/>
      <c r="AI13" s="125"/>
      <c r="AJ13" s="125"/>
      <c r="AK13" s="125"/>
      <c r="AL13" s="126"/>
      <c r="AM13" s="126"/>
      <c r="AN13" s="125">
        <f t="shared" si="2"/>
        <v>116392</v>
      </c>
      <c r="AO13" s="125">
        <f t="shared" si="2"/>
        <v>253538</v>
      </c>
      <c r="AP13" s="126">
        <v>0</v>
      </c>
      <c r="AQ13" s="180">
        <f t="shared" si="3"/>
        <v>369930</v>
      </c>
      <c r="AR13" s="182">
        <f t="shared" si="4"/>
        <v>353328</v>
      </c>
      <c r="AS13" s="127">
        <v>0</v>
      </c>
      <c r="AT13" s="128">
        <f t="shared" si="8"/>
        <v>353328</v>
      </c>
      <c r="AU13" s="128">
        <v>140</v>
      </c>
      <c r="AV13" s="143"/>
      <c r="AW13" s="179">
        <f t="shared" si="9"/>
        <v>353468</v>
      </c>
      <c r="AX13" s="130">
        <f t="shared" si="5"/>
        <v>140</v>
      </c>
      <c r="AY13" s="131">
        <f t="shared" si="6"/>
        <v>0</v>
      </c>
      <c r="AZ13" s="132"/>
      <c r="BA13" s="133"/>
      <c r="BB13" s="133"/>
      <c r="BC13" s="133"/>
      <c r="BD13" s="133"/>
      <c r="BE13" s="133"/>
      <c r="BF13" s="133"/>
      <c r="BG13" s="133"/>
      <c r="BH13" s="133"/>
      <c r="BI13" s="133"/>
      <c r="BJ13" s="133"/>
      <c r="BK13" s="133"/>
      <c r="BL13" s="133"/>
      <c r="BM13" s="133"/>
      <c r="BN13" s="133"/>
      <c r="BO13" s="133"/>
      <c r="BP13" s="133"/>
      <c r="BQ13" s="133"/>
      <c r="BR13" s="133"/>
      <c r="BS13" s="133"/>
      <c r="BT13" s="133"/>
      <c r="BU13" s="133"/>
      <c r="BV13" s="134">
        <f t="shared" si="0"/>
        <v>0</v>
      </c>
      <c r="BW13" s="135"/>
      <c r="BX13" s="139">
        <v>8</v>
      </c>
      <c r="BY13" s="139" t="s">
        <v>6</v>
      </c>
      <c r="BZ13" s="139"/>
      <c r="CA13" s="138"/>
      <c r="CB13" s="138"/>
      <c r="CC13" s="138"/>
      <c r="CD13" s="144"/>
      <c r="CE13" s="135"/>
      <c r="CF13" s="140">
        <f t="shared" si="7"/>
        <v>353468</v>
      </c>
      <c r="CG13" s="135"/>
      <c r="CH13" s="135"/>
      <c r="CI13" s="135"/>
      <c r="CJ13" s="135"/>
      <c r="CK13" s="135"/>
    </row>
    <row r="14" spans="1:89" s="141" customFormat="1" ht="60" customHeight="1">
      <c r="A14" s="119">
        <v>10</v>
      </c>
      <c r="B14" s="120" t="s">
        <v>7</v>
      </c>
      <c r="C14" s="121">
        <v>150000</v>
      </c>
      <c r="D14" s="122">
        <v>0</v>
      </c>
      <c r="E14" s="122">
        <v>0</v>
      </c>
      <c r="F14" s="122">
        <v>224094</v>
      </c>
      <c r="G14" s="122">
        <v>0</v>
      </c>
      <c r="H14" s="122">
        <v>294400</v>
      </c>
      <c r="I14" s="122">
        <v>0</v>
      </c>
      <c r="J14" s="122">
        <v>0</v>
      </c>
      <c r="K14" s="122">
        <v>0</v>
      </c>
      <c r="L14" s="122">
        <v>0</v>
      </c>
      <c r="M14" s="122">
        <v>0</v>
      </c>
      <c r="N14" s="122"/>
      <c r="O14" s="142">
        <f t="shared" si="1"/>
        <v>668494</v>
      </c>
      <c r="P14" s="124">
        <v>0</v>
      </c>
      <c r="Q14" s="125">
        <f>36391-20321</f>
        <v>16070</v>
      </c>
      <c r="R14" s="125">
        <v>2499</v>
      </c>
      <c r="S14" s="125">
        <f>52109-19996</f>
        <v>32113</v>
      </c>
      <c r="T14" s="125">
        <v>499</v>
      </c>
      <c r="U14" s="125">
        <f>58549-19996</f>
        <v>38553</v>
      </c>
      <c r="V14" s="125">
        <v>499</v>
      </c>
      <c r="W14" s="125">
        <f>50142-19988</f>
        <v>30154</v>
      </c>
      <c r="X14" s="125">
        <v>499</v>
      </c>
      <c r="Y14" s="125">
        <f>30032-19954</f>
        <v>10078</v>
      </c>
      <c r="Z14" s="125">
        <v>499</v>
      </c>
      <c r="AA14" s="125">
        <f>51199-19954</f>
        <v>31245</v>
      </c>
      <c r="AB14" s="125">
        <v>294899</v>
      </c>
      <c r="AC14" s="125">
        <f>44002-19954</f>
        <v>24048</v>
      </c>
      <c r="AD14" s="125">
        <v>499</v>
      </c>
      <c r="AE14" s="125">
        <f>45924-19933</f>
        <v>25991</v>
      </c>
      <c r="AF14" s="125">
        <v>499</v>
      </c>
      <c r="AG14" s="125">
        <f>44583-17893</f>
        <v>26690</v>
      </c>
      <c r="AH14" s="125"/>
      <c r="AI14" s="125"/>
      <c r="AJ14" s="125"/>
      <c r="AK14" s="125"/>
      <c r="AL14" s="126"/>
      <c r="AM14" s="126"/>
      <c r="AN14" s="125">
        <f t="shared" si="2"/>
        <v>300392</v>
      </c>
      <c r="AO14" s="125">
        <f t="shared" si="2"/>
        <v>234942</v>
      </c>
      <c r="AP14" s="126">
        <v>0</v>
      </c>
      <c r="AQ14" s="180">
        <f t="shared" si="3"/>
        <v>535334</v>
      </c>
      <c r="AR14" s="182">
        <f t="shared" si="4"/>
        <v>133160</v>
      </c>
      <c r="AS14" s="127">
        <v>0</v>
      </c>
      <c r="AT14" s="128">
        <f t="shared" si="8"/>
        <v>133160</v>
      </c>
      <c r="AU14" s="128">
        <v>101</v>
      </c>
      <c r="AV14" s="143"/>
      <c r="AW14" s="179">
        <f t="shared" si="9"/>
        <v>133261</v>
      </c>
      <c r="AX14" s="130">
        <f t="shared" si="5"/>
        <v>101</v>
      </c>
      <c r="AY14" s="131">
        <f t="shared" si="6"/>
        <v>0</v>
      </c>
      <c r="AZ14" s="132"/>
      <c r="BA14" s="133"/>
      <c r="BB14" s="133"/>
      <c r="BC14" s="133"/>
      <c r="BD14" s="133"/>
      <c r="BE14" s="133"/>
      <c r="BF14" s="133"/>
      <c r="BG14" s="133"/>
      <c r="BH14" s="133"/>
      <c r="BI14" s="133"/>
      <c r="BJ14" s="133"/>
      <c r="BK14" s="133"/>
      <c r="BL14" s="133"/>
      <c r="BM14" s="133"/>
      <c r="BN14" s="133"/>
      <c r="BO14" s="133"/>
      <c r="BP14" s="133"/>
      <c r="BQ14" s="133"/>
      <c r="BR14" s="133"/>
      <c r="BS14" s="133"/>
      <c r="BT14" s="133"/>
      <c r="BU14" s="133"/>
      <c r="BV14" s="134">
        <f t="shared" si="0"/>
        <v>0</v>
      </c>
      <c r="BW14" s="135"/>
      <c r="BX14" s="139">
        <v>9</v>
      </c>
      <c r="BY14" s="139" t="s">
        <v>7</v>
      </c>
      <c r="BZ14" s="139"/>
      <c r="CA14" s="138"/>
      <c r="CB14" s="138"/>
      <c r="CC14" s="138"/>
      <c r="CD14" s="144"/>
      <c r="CE14" s="135"/>
      <c r="CF14" s="140">
        <f t="shared" si="7"/>
        <v>133261</v>
      </c>
      <c r="CG14" s="135"/>
      <c r="CH14" s="135"/>
      <c r="CI14" s="135"/>
      <c r="CJ14" s="135"/>
      <c r="CK14" s="135"/>
    </row>
    <row r="15" spans="1:89" s="141" customFormat="1" ht="60" customHeight="1">
      <c r="A15" s="119">
        <v>11</v>
      </c>
      <c r="B15" s="120" t="s">
        <v>8</v>
      </c>
      <c r="C15" s="121">
        <v>150000</v>
      </c>
      <c r="D15" s="122">
        <v>0</v>
      </c>
      <c r="E15" s="122">
        <v>0</v>
      </c>
      <c r="F15" s="122">
        <v>254968</v>
      </c>
      <c r="G15" s="122">
        <v>0</v>
      </c>
      <c r="H15" s="122">
        <v>0</v>
      </c>
      <c r="I15" s="122">
        <v>86700</v>
      </c>
      <c r="J15" s="122">
        <v>0</v>
      </c>
      <c r="K15" s="122">
        <v>0</v>
      </c>
      <c r="L15" s="122">
        <v>0</v>
      </c>
      <c r="M15" s="122">
        <v>0</v>
      </c>
      <c r="N15" s="122"/>
      <c r="O15" s="142">
        <f t="shared" si="1"/>
        <v>491668</v>
      </c>
      <c r="P15" s="124">
        <v>0</v>
      </c>
      <c r="Q15" s="125">
        <f>18322-2122</f>
        <v>16200</v>
      </c>
      <c r="R15" s="125">
        <v>2499</v>
      </c>
      <c r="S15" s="125">
        <f>43447-2122</f>
        <v>41325</v>
      </c>
      <c r="T15" s="125">
        <v>499</v>
      </c>
      <c r="U15" s="125">
        <f>29616-2122</f>
        <v>27494</v>
      </c>
      <c r="V15" s="125">
        <v>499</v>
      </c>
      <c r="W15" s="125">
        <f>30474-2122</f>
        <v>28352</v>
      </c>
      <c r="X15" s="125">
        <v>499</v>
      </c>
      <c r="Y15" s="125">
        <f>28947-2122</f>
        <v>26825</v>
      </c>
      <c r="Z15" s="125">
        <v>499</v>
      </c>
      <c r="AA15" s="125">
        <f>32789-2122</f>
        <v>30667</v>
      </c>
      <c r="AB15" s="125">
        <v>87199</v>
      </c>
      <c r="AC15" s="125">
        <f>35516-2122</f>
        <v>33394</v>
      </c>
      <c r="AD15" s="125">
        <v>499</v>
      </c>
      <c r="AE15" s="125">
        <f>25261-2122</f>
        <v>23139</v>
      </c>
      <c r="AF15" s="125">
        <v>499</v>
      </c>
      <c r="AG15" s="125">
        <f>34961-2130</f>
        <v>32831</v>
      </c>
      <c r="AH15" s="125"/>
      <c r="AI15" s="125"/>
      <c r="AJ15" s="125"/>
      <c r="AK15" s="125"/>
      <c r="AL15" s="126"/>
      <c r="AM15" s="126"/>
      <c r="AN15" s="125">
        <f t="shared" si="2"/>
        <v>92692</v>
      </c>
      <c r="AO15" s="125">
        <f t="shared" si="2"/>
        <v>260227</v>
      </c>
      <c r="AP15" s="126">
        <v>0</v>
      </c>
      <c r="AQ15" s="180">
        <f t="shared" si="3"/>
        <v>352919</v>
      </c>
      <c r="AR15" s="182">
        <f t="shared" si="4"/>
        <v>138749</v>
      </c>
      <c r="AS15" s="127">
        <v>0</v>
      </c>
      <c r="AT15" s="128">
        <f t="shared" si="8"/>
        <v>138749</v>
      </c>
      <c r="AU15" s="128">
        <v>89</v>
      </c>
      <c r="AV15" s="143"/>
      <c r="AW15" s="179">
        <f t="shared" si="9"/>
        <v>138838</v>
      </c>
      <c r="AX15" s="130">
        <f t="shared" si="5"/>
        <v>89</v>
      </c>
      <c r="AY15" s="131">
        <f t="shared" si="6"/>
        <v>0</v>
      </c>
      <c r="AZ15" s="132"/>
      <c r="BA15" s="133"/>
      <c r="BB15" s="133"/>
      <c r="BC15" s="133"/>
      <c r="BD15" s="133"/>
      <c r="BE15" s="133"/>
      <c r="BF15" s="133"/>
      <c r="BG15" s="133"/>
      <c r="BH15" s="133"/>
      <c r="BI15" s="133"/>
      <c r="BJ15" s="133"/>
      <c r="BK15" s="133"/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4">
        <f t="shared" si="0"/>
        <v>0</v>
      </c>
      <c r="BW15" s="135"/>
      <c r="BX15" s="139">
        <v>10</v>
      </c>
      <c r="BY15" s="139" t="s">
        <v>8</v>
      </c>
      <c r="BZ15" s="139"/>
      <c r="CA15" s="138"/>
      <c r="CB15" s="138"/>
      <c r="CC15" s="138"/>
      <c r="CD15" s="144"/>
      <c r="CE15" s="135"/>
      <c r="CF15" s="140">
        <f t="shared" si="7"/>
        <v>138838</v>
      </c>
      <c r="CG15" s="135"/>
      <c r="CH15" s="135"/>
      <c r="CI15" s="135"/>
      <c r="CJ15" s="135"/>
      <c r="CK15" s="135"/>
    </row>
    <row r="16" spans="1:89" s="141" customFormat="1" ht="60" customHeight="1">
      <c r="A16" s="119">
        <v>12</v>
      </c>
      <c r="B16" s="120" t="s">
        <v>9</v>
      </c>
      <c r="C16" s="121">
        <v>150000</v>
      </c>
      <c r="D16" s="122">
        <v>0</v>
      </c>
      <c r="E16" s="122">
        <v>0</v>
      </c>
      <c r="F16" s="122">
        <v>308848</v>
      </c>
      <c r="G16" s="122">
        <v>0</v>
      </c>
      <c r="H16" s="122">
        <v>286600</v>
      </c>
      <c r="I16" s="122">
        <v>0</v>
      </c>
      <c r="J16" s="122">
        <v>0</v>
      </c>
      <c r="K16" s="122">
        <v>0</v>
      </c>
      <c r="L16" s="122">
        <v>0</v>
      </c>
      <c r="M16" s="122">
        <v>0</v>
      </c>
      <c r="N16" s="122"/>
      <c r="O16" s="142">
        <f t="shared" si="1"/>
        <v>745448</v>
      </c>
      <c r="P16" s="124">
        <v>2000</v>
      </c>
      <c r="Q16" s="125">
        <f>18199-0</f>
        <v>18199</v>
      </c>
      <c r="R16" s="125">
        <v>499</v>
      </c>
      <c r="S16" s="125">
        <f>30944-0</f>
        <v>30944</v>
      </c>
      <c r="T16" s="125">
        <v>499</v>
      </c>
      <c r="U16" s="125">
        <f>22852-0</f>
        <v>22852</v>
      </c>
      <c r="V16" s="125">
        <v>499</v>
      </c>
      <c r="W16" s="125">
        <f>25947-0</f>
        <v>25947</v>
      </c>
      <c r="X16" s="125">
        <v>499</v>
      </c>
      <c r="Y16" s="125">
        <f>30562-0</f>
        <v>30562</v>
      </c>
      <c r="Z16" s="125">
        <v>499</v>
      </c>
      <c r="AA16" s="125">
        <f>37659-0</f>
        <v>37659</v>
      </c>
      <c r="AB16" s="125">
        <v>317099</v>
      </c>
      <c r="AC16" s="125">
        <f>26141-0</f>
        <v>26141</v>
      </c>
      <c r="AD16" s="125">
        <v>4499</v>
      </c>
      <c r="AE16" s="125">
        <f>25570-0</f>
        <v>25570</v>
      </c>
      <c r="AF16" s="125">
        <v>499</v>
      </c>
      <c r="AG16" s="125">
        <f>26294-0</f>
        <v>26294</v>
      </c>
      <c r="AH16" s="125"/>
      <c r="AI16" s="125"/>
      <c r="AJ16" s="125"/>
      <c r="AK16" s="125"/>
      <c r="AL16" s="126"/>
      <c r="AM16" s="126"/>
      <c r="AN16" s="125">
        <f t="shared" si="2"/>
        <v>326592</v>
      </c>
      <c r="AO16" s="125">
        <f t="shared" si="2"/>
        <v>244168</v>
      </c>
      <c r="AP16" s="126">
        <v>0</v>
      </c>
      <c r="AQ16" s="180">
        <f t="shared" si="3"/>
        <v>570760</v>
      </c>
      <c r="AR16" s="181">
        <f t="shared" si="4"/>
        <v>174688</v>
      </c>
      <c r="AS16" s="127">
        <v>0</v>
      </c>
      <c r="AT16" s="128">
        <f t="shared" si="8"/>
        <v>174688</v>
      </c>
      <c r="AU16" s="128">
        <v>178</v>
      </c>
      <c r="AV16" s="143"/>
      <c r="AW16" s="179">
        <f t="shared" si="9"/>
        <v>174866</v>
      </c>
      <c r="AX16" s="130">
        <f t="shared" si="5"/>
        <v>178</v>
      </c>
      <c r="AY16" s="131">
        <f t="shared" si="6"/>
        <v>0</v>
      </c>
      <c r="AZ16" s="132"/>
      <c r="BA16" s="133"/>
      <c r="BB16" s="133"/>
      <c r="BC16" s="133"/>
      <c r="BD16" s="133"/>
      <c r="BE16" s="133"/>
      <c r="BF16" s="133"/>
      <c r="BG16" s="133"/>
      <c r="BH16" s="133"/>
      <c r="BI16" s="133"/>
      <c r="BJ16" s="133"/>
      <c r="BK16" s="133"/>
      <c r="BL16" s="133"/>
      <c r="BM16" s="133"/>
      <c r="BN16" s="133"/>
      <c r="BO16" s="133"/>
      <c r="BP16" s="133"/>
      <c r="BQ16" s="133"/>
      <c r="BR16" s="133"/>
      <c r="BS16" s="133"/>
      <c r="BT16" s="133"/>
      <c r="BU16" s="133"/>
      <c r="BV16" s="134">
        <f t="shared" si="0"/>
        <v>0</v>
      </c>
      <c r="BW16" s="135"/>
      <c r="BX16" s="139">
        <v>11</v>
      </c>
      <c r="BY16" s="139" t="s">
        <v>9</v>
      </c>
      <c r="BZ16" s="139"/>
      <c r="CA16" s="138"/>
      <c r="CB16" s="138"/>
      <c r="CC16" s="138"/>
      <c r="CD16" s="144"/>
      <c r="CE16" s="135"/>
      <c r="CF16" s="140">
        <f t="shared" si="7"/>
        <v>174866</v>
      </c>
      <c r="CG16" s="135"/>
      <c r="CH16" s="135"/>
      <c r="CI16" s="135"/>
      <c r="CJ16" s="135"/>
      <c r="CK16" s="135"/>
    </row>
    <row r="17" spans="1:89" s="141" customFormat="1" ht="60" customHeight="1">
      <c r="A17" s="119">
        <v>13</v>
      </c>
      <c r="B17" s="120" t="s">
        <v>10</v>
      </c>
      <c r="C17" s="121">
        <v>150000</v>
      </c>
      <c r="D17" s="122">
        <v>0</v>
      </c>
      <c r="E17" s="122">
        <v>0</v>
      </c>
      <c r="F17" s="122">
        <f>216669+480238</f>
        <v>696907</v>
      </c>
      <c r="G17" s="122">
        <v>0</v>
      </c>
      <c r="H17" s="122">
        <v>148500</v>
      </c>
      <c r="I17" s="122">
        <v>0</v>
      </c>
      <c r="J17" s="122">
        <v>0</v>
      </c>
      <c r="K17" s="122">
        <v>0</v>
      </c>
      <c r="L17" s="122">
        <v>0</v>
      </c>
      <c r="M17" s="122">
        <v>0</v>
      </c>
      <c r="N17" s="122"/>
      <c r="O17" s="142">
        <f t="shared" si="1"/>
        <v>995407</v>
      </c>
      <c r="P17" s="124">
        <v>0</v>
      </c>
      <c r="Q17" s="125">
        <f>19000-0</f>
        <v>19000</v>
      </c>
      <c r="R17" s="125">
        <v>499</v>
      </c>
      <c r="S17" s="125">
        <f>34529-0</f>
        <v>34529</v>
      </c>
      <c r="T17" s="125">
        <v>0</v>
      </c>
      <c r="U17" s="125">
        <f>15653-0</f>
        <v>15653</v>
      </c>
      <c r="V17" s="125">
        <v>2499</v>
      </c>
      <c r="W17" s="125">
        <f>39549-2491</f>
        <v>37058</v>
      </c>
      <c r="X17" s="125">
        <v>998</v>
      </c>
      <c r="Y17" s="125">
        <f>40920-2491</f>
        <v>38429</v>
      </c>
      <c r="Z17" s="125">
        <v>0</v>
      </c>
      <c r="AA17" s="125">
        <f>19891-2491</f>
        <v>17400</v>
      </c>
      <c r="AB17" s="125">
        <v>998</v>
      </c>
      <c r="AC17" s="125">
        <f>47915-2491</f>
        <v>45424</v>
      </c>
      <c r="AD17" s="125">
        <v>148999</v>
      </c>
      <c r="AE17" s="125">
        <f>39914-2491</f>
        <v>37423</v>
      </c>
      <c r="AF17" s="125">
        <v>0</v>
      </c>
      <c r="AG17" s="125">
        <f>23970-2491</f>
        <v>21479</v>
      </c>
      <c r="AH17" s="125"/>
      <c r="AI17" s="125"/>
      <c r="AJ17" s="125"/>
      <c r="AK17" s="125"/>
      <c r="AL17" s="126"/>
      <c r="AM17" s="126"/>
      <c r="AN17" s="125">
        <f t="shared" si="2"/>
        <v>153993</v>
      </c>
      <c r="AO17" s="125">
        <f t="shared" si="2"/>
        <v>266395</v>
      </c>
      <c r="AP17" s="126">
        <v>216696</v>
      </c>
      <c r="AQ17" s="180">
        <f t="shared" si="3"/>
        <v>637084</v>
      </c>
      <c r="AR17" s="181">
        <f t="shared" si="4"/>
        <v>358323</v>
      </c>
      <c r="AS17" s="127">
        <v>0</v>
      </c>
      <c r="AT17" s="128">
        <f t="shared" si="8"/>
        <v>358323</v>
      </c>
      <c r="AU17" s="128">
        <v>242</v>
      </c>
      <c r="AV17" s="143"/>
      <c r="AW17" s="179">
        <f t="shared" si="9"/>
        <v>358565</v>
      </c>
      <c r="AX17" s="130">
        <f t="shared" si="5"/>
        <v>242</v>
      </c>
      <c r="AY17" s="131">
        <f t="shared" si="6"/>
        <v>0</v>
      </c>
      <c r="AZ17" s="132"/>
      <c r="BA17" s="133"/>
      <c r="BB17" s="133"/>
      <c r="BC17" s="133"/>
      <c r="BD17" s="133"/>
      <c r="BE17" s="133"/>
      <c r="BF17" s="133"/>
      <c r="BG17" s="133"/>
      <c r="BH17" s="133"/>
      <c r="BI17" s="133"/>
      <c r="BJ17" s="133"/>
      <c r="BK17" s="133"/>
      <c r="BL17" s="133"/>
      <c r="BM17" s="133"/>
      <c r="BN17" s="133"/>
      <c r="BO17" s="133"/>
      <c r="BP17" s="133"/>
      <c r="BQ17" s="133"/>
      <c r="BR17" s="133"/>
      <c r="BS17" s="133"/>
      <c r="BT17" s="133"/>
      <c r="BU17" s="133"/>
      <c r="BV17" s="134">
        <f t="shared" si="0"/>
        <v>0</v>
      </c>
      <c r="BW17" s="135"/>
      <c r="BX17" s="139">
        <v>12</v>
      </c>
      <c r="BY17" s="139" t="s">
        <v>10</v>
      </c>
      <c r="BZ17" s="139"/>
      <c r="CA17" s="138"/>
      <c r="CB17" s="138"/>
      <c r="CC17" s="138"/>
      <c r="CD17" s="144"/>
      <c r="CE17" s="135"/>
      <c r="CF17" s="140">
        <f t="shared" si="7"/>
        <v>358565</v>
      </c>
      <c r="CG17" s="135"/>
      <c r="CH17" s="135"/>
      <c r="CI17" s="135"/>
      <c r="CJ17" s="135"/>
      <c r="CK17" s="135"/>
    </row>
    <row r="18" spans="1:89" s="141" customFormat="1" ht="60" customHeight="1">
      <c r="A18" s="119">
        <v>14</v>
      </c>
      <c r="B18" s="120" t="s">
        <v>11</v>
      </c>
      <c r="C18" s="121">
        <v>150000</v>
      </c>
      <c r="D18" s="122">
        <v>0</v>
      </c>
      <c r="E18" s="122">
        <v>0</v>
      </c>
      <c r="F18" s="122">
        <v>298918</v>
      </c>
      <c r="G18" s="122">
        <v>0</v>
      </c>
      <c r="H18" s="122">
        <v>58600</v>
      </c>
      <c r="I18" s="122">
        <v>0</v>
      </c>
      <c r="J18" s="122">
        <v>850000</v>
      </c>
      <c r="K18" s="122">
        <v>0</v>
      </c>
      <c r="L18" s="122">
        <v>0</v>
      </c>
      <c r="M18" s="122">
        <v>0</v>
      </c>
      <c r="N18" s="122"/>
      <c r="O18" s="142">
        <f t="shared" si="1"/>
        <v>1357518</v>
      </c>
      <c r="P18" s="124">
        <v>0</v>
      </c>
      <c r="Q18" s="125">
        <f>13550-0</f>
        <v>13550</v>
      </c>
      <c r="R18" s="125">
        <v>2000</v>
      </c>
      <c r="S18" s="125">
        <f>17818-0</f>
        <v>17818</v>
      </c>
      <c r="T18" s="125">
        <v>499</v>
      </c>
      <c r="U18" s="125">
        <f>7382-0</f>
        <v>7382</v>
      </c>
      <c r="V18" s="125">
        <v>0</v>
      </c>
      <c r="W18" s="125">
        <f>0-0</f>
        <v>0</v>
      </c>
      <c r="X18" s="125">
        <v>998</v>
      </c>
      <c r="Y18" s="125">
        <f>63724-0</f>
        <v>63724</v>
      </c>
      <c r="Z18" s="125">
        <v>499</v>
      </c>
      <c r="AA18" s="125">
        <f>27171-0</f>
        <v>27171</v>
      </c>
      <c r="AB18" s="125">
        <v>59099</v>
      </c>
      <c r="AC18" s="125">
        <f>31666-0</f>
        <v>31666</v>
      </c>
      <c r="AD18" s="125">
        <v>499</v>
      </c>
      <c r="AE18" s="125">
        <f>47674-0</f>
        <v>47674</v>
      </c>
      <c r="AF18" s="125">
        <v>499</v>
      </c>
      <c r="AG18" s="125">
        <f>29840-0</f>
        <v>29840</v>
      </c>
      <c r="AH18" s="125"/>
      <c r="AI18" s="125"/>
      <c r="AJ18" s="125"/>
      <c r="AK18" s="125"/>
      <c r="AL18" s="126"/>
      <c r="AM18" s="126"/>
      <c r="AN18" s="125">
        <f t="shared" si="2"/>
        <v>64093</v>
      </c>
      <c r="AO18" s="125">
        <f t="shared" si="2"/>
        <v>238825</v>
      </c>
      <c r="AP18" s="126">
        <v>0</v>
      </c>
      <c r="AQ18" s="180">
        <f t="shared" si="3"/>
        <v>302918</v>
      </c>
      <c r="AR18" s="182">
        <f t="shared" si="4"/>
        <v>1054600</v>
      </c>
      <c r="AS18" s="127">
        <v>0</v>
      </c>
      <c r="AT18" s="128">
        <f t="shared" si="8"/>
        <v>1054600</v>
      </c>
      <c r="AU18" s="128">
        <v>473</v>
      </c>
      <c r="AV18" s="143"/>
      <c r="AW18" s="179">
        <f t="shared" si="9"/>
        <v>1055073</v>
      </c>
      <c r="AX18" s="130">
        <f t="shared" si="5"/>
        <v>473</v>
      </c>
      <c r="AY18" s="131">
        <f t="shared" si="6"/>
        <v>0</v>
      </c>
      <c r="AZ18" s="132"/>
      <c r="BA18" s="133"/>
      <c r="BB18" s="133"/>
      <c r="BC18" s="133"/>
      <c r="BD18" s="133"/>
      <c r="BE18" s="133"/>
      <c r="BF18" s="133"/>
      <c r="BG18" s="133"/>
      <c r="BH18" s="133"/>
      <c r="BI18" s="133"/>
      <c r="BJ18" s="133"/>
      <c r="BK18" s="133"/>
      <c r="BL18" s="133"/>
      <c r="BM18" s="133"/>
      <c r="BN18" s="133"/>
      <c r="BO18" s="133"/>
      <c r="BP18" s="133"/>
      <c r="BQ18" s="133"/>
      <c r="BR18" s="133"/>
      <c r="BS18" s="133"/>
      <c r="BT18" s="133"/>
      <c r="BU18" s="133"/>
      <c r="BV18" s="134">
        <f t="shared" si="0"/>
        <v>0</v>
      </c>
      <c r="BW18" s="135"/>
      <c r="BX18" s="139">
        <v>13</v>
      </c>
      <c r="BY18" s="139" t="s">
        <v>11</v>
      </c>
      <c r="BZ18" s="139"/>
      <c r="CA18" s="138"/>
      <c r="CB18" s="138"/>
      <c r="CC18" s="138"/>
      <c r="CD18" s="144"/>
      <c r="CE18" s="135"/>
      <c r="CF18" s="140">
        <f t="shared" si="7"/>
        <v>1055073</v>
      </c>
      <c r="CG18" s="135"/>
      <c r="CH18" s="135"/>
      <c r="CI18" s="135"/>
      <c r="CJ18" s="135"/>
      <c r="CK18" s="135"/>
    </row>
    <row r="19" spans="1:89" s="141" customFormat="1" ht="60" customHeight="1">
      <c r="A19" s="119">
        <v>15</v>
      </c>
      <c r="B19" s="120" t="s">
        <v>12</v>
      </c>
      <c r="C19" s="121">
        <v>150000</v>
      </c>
      <c r="D19" s="122">
        <v>0</v>
      </c>
      <c r="E19" s="122">
        <v>0</v>
      </c>
      <c r="F19" s="122">
        <v>326584</v>
      </c>
      <c r="G19" s="122">
        <v>0</v>
      </c>
      <c r="H19" s="122">
        <f>35000+254000</f>
        <v>289000</v>
      </c>
      <c r="I19" s="122">
        <v>0</v>
      </c>
      <c r="J19" s="122">
        <f>1027362+51790</f>
        <v>1079152</v>
      </c>
      <c r="K19" s="122">
        <v>0</v>
      </c>
      <c r="L19" s="122">
        <v>24000</v>
      </c>
      <c r="M19" s="122">
        <v>0</v>
      </c>
      <c r="N19" s="122"/>
      <c r="O19" s="142">
        <f t="shared" si="1"/>
        <v>1868736</v>
      </c>
      <c r="P19" s="124">
        <v>0</v>
      </c>
      <c r="Q19" s="125">
        <f>16240-240</f>
        <v>16000</v>
      </c>
      <c r="R19" s="125">
        <v>2400</v>
      </c>
      <c r="S19" s="125">
        <f>23018-240</f>
        <v>22778</v>
      </c>
      <c r="T19" s="125">
        <v>799</v>
      </c>
      <c r="U19" s="125">
        <f>11456-240</f>
        <v>11216</v>
      </c>
      <c r="V19" s="125">
        <v>799</v>
      </c>
      <c r="W19" s="125">
        <f>12635-240</f>
        <v>12395</v>
      </c>
      <c r="X19" s="125">
        <v>799</v>
      </c>
      <c r="Y19" s="125">
        <f>66839-240</f>
        <v>66599</v>
      </c>
      <c r="Z19" s="125">
        <v>799</v>
      </c>
      <c r="AA19" s="125">
        <f>27149-240</f>
        <v>26909</v>
      </c>
      <c r="AB19" s="125">
        <v>254859</v>
      </c>
      <c r="AC19" s="125">
        <f>26961-240</f>
        <v>26721</v>
      </c>
      <c r="AD19" s="125">
        <v>1419</v>
      </c>
      <c r="AE19" s="125">
        <f>41456-240</f>
        <v>41216</v>
      </c>
      <c r="AF19" s="125">
        <v>999</v>
      </c>
      <c r="AG19" s="125">
        <f>26811-240</f>
        <v>26571</v>
      </c>
      <c r="AH19" s="125"/>
      <c r="AI19" s="125"/>
      <c r="AJ19" s="125"/>
      <c r="AK19" s="125"/>
      <c r="AL19" s="126"/>
      <c r="AM19" s="126"/>
      <c r="AN19" s="125">
        <f t="shared" si="2"/>
        <v>262873</v>
      </c>
      <c r="AO19" s="125">
        <f t="shared" si="2"/>
        <v>250405</v>
      </c>
      <c r="AP19" s="126">
        <v>0</v>
      </c>
      <c r="AQ19" s="180">
        <f t="shared" si="3"/>
        <v>513278</v>
      </c>
      <c r="AR19" s="182">
        <f t="shared" si="4"/>
        <v>1355458</v>
      </c>
      <c r="AS19" s="127">
        <v>0</v>
      </c>
      <c r="AT19" s="128">
        <f t="shared" si="8"/>
        <v>1355458</v>
      </c>
      <c r="AU19" s="128">
        <v>162</v>
      </c>
      <c r="AV19" s="143"/>
      <c r="AW19" s="179">
        <f t="shared" si="9"/>
        <v>1355620</v>
      </c>
      <c r="AX19" s="130">
        <f t="shared" si="5"/>
        <v>162</v>
      </c>
      <c r="AY19" s="131">
        <f t="shared" si="6"/>
        <v>0</v>
      </c>
      <c r="AZ19" s="132"/>
      <c r="BA19" s="133"/>
      <c r="BB19" s="133"/>
      <c r="BC19" s="133"/>
      <c r="BD19" s="133"/>
      <c r="BE19" s="133"/>
      <c r="BF19" s="133"/>
      <c r="BG19" s="133"/>
      <c r="BH19" s="133"/>
      <c r="BI19" s="133"/>
      <c r="BJ19" s="133"/>
      <c r="BK19" s="133"/>
      <c r="BL19" s="133"/>
      <c r="BM19" s="133"/>
      <c r="BN19" s="133"/>
      <c r="BO19" s="133"/>
      <c r="BP19" s="133"/>
      <c r="BQ19" s="133"/>
      <c r="BR19" s="133"/>
      <c r="BS19" s="133"/>
      <c r="BT19" s="133"/>
      <c r="BU19" s="133"/>
      <c r="BV19" s="134">
        <f t="shared" si="0"/>
        <v>0</v>
      </c>
      <c r="BW19" s="135"/>
      <c r="BX19" s="139">
        <v>14</v>
      </c>
      <c r="BY19" s="139" t="s">
        <v>12</v>
      </c>
      <c r="BZ19" s="139"/>
      <c r="CA19" s="138"/>
      <c r="CB19" s="138"/>
      <c r="CC19" s="138"/>
      <c r="CD19" s="144"/>
      <c r="CE19" s="135"/>
      <c r="CF19" s="140">
        <f t="shared" si="7"/>
        <v>1355620</v>
      </c>
      <c r="CG19" s="135"/>
      <c r="CH19" s="135"/>
      <c r="CI19" s="135"/>
      <c r="CJ19" s="135"/>
      <c r="CK19" s="135"/>
    </row>
    <row r="20" spans="1:89" s="141" customFormat="1" ht="60" customHeight="1">
      <c r="A20" s="147">
        <v>16</v>
      </c>
      <c r="B20" s="148" t="s">
        <v>13</v>
      </c>
      <c r="C20" s="121">
        <v>150000</v>
      </c>
      <c r="D20" s="122">
        <v>0</v>
      </c>
      <c r="E20" s="122">
        <v>0</v>
      </c>
      <c r="F20" s="122">
        <v>259618</v>
      </c>
      <c r="G20" s="122">
        <v>0</v>
      </c>
      <c r="H20" s="122">
        <v>20600</v>
      </c>
      <c r="I20" s="122">
        <v>0</v>
      </c>
      <c r="J20" s="122">
        <v>0</v>
      </c>
      <c r="K20" s="122">
        <v>0</v>
      </c>
      <c r="L20" s="122">
        <v>0</v>
      </c>
      <c r="M20" s="122">
        <v>0</v>
      </c>
      <c r="N20" s="122"/>
      <c r="O20" s="142">
        <f t="shared" si="1"/>
        <v>430218</v>
      </c>
      <c r="P20" s="124">
        <v>0</v>
      </c>
      <c r="Q20" s="125">
        <f>18972-610</f>
        <v>18362</v>
      </c>
      <c r="R20" s="125">
        <v>2499</v>
      </c>
      <c r="S20" s="125">
        <f>21924-610</f>
        <v>21314</v>
      </c>
      <c r="T20" s="125">
        <v>499</v>
      </c>
      <c r="U20" s="125">
        <f>22472-610</f>
        <v>21862</v>
      </c>
      <c r="V20" s="125">
        <v>499</v>
      </c>
      <c r="W20" s="125">
        <f>23373-610</f>
        <v>22763</v>
      </c>
      <c r="X20" s="125">
        <v>499</v>
      </c>
      <c r="Y20" s="125">
        <f>21727-610</f>
        <v>21117</v>
      </c>
      <c r="Z20" s="125">
        <v>499</v>
      </c>
      <c r="AA20" s="125">
        <f>24363-610</f>
        <v>23753</v>
      </c>
      <c r="AB20" s="125">
        <v>21099</v>
      </c>
      <c r="AC20" s="125">
        <f>25638-610</f>
        <v>25028</v>
      </c>
      <c r="AD20" s="125">
        <v>499</v>
      </c>
      <c r="AE20" s="125">
        <f>25645-610</f>
        <v>25035</v>
      </c>
      <c r="AF20" s="125">
        <v>499</v>
      </c>
      <c r="AG20" s="125">
        <f>33660-610</f>
        <v>33050</v>
      </c>
      <c r="AH20" s="125"/>
      <c r="AI20" s="125"/>
      <c r="AJ20" s="125"/>
      <c r="AK20" s="125"/>
      <c r="AL20" s="126"/>
      <c r="AM20" s="126"/>
      <c r="AN20" s="125">
        <f t="shared" si="2"/>
        <v>26592</v>
      </c>
      <c r="AO20" s="125">
        <f t="shared" si="2"/>
        <v>212284</v>
      </c>
      <c r="AP20" s="126">
        <v>0</v>
      </c>
      <c r="AQ20" s="180">
        <f t="shared" si="3"/>
        <v>238876</v>
      </c>
      <c r="AR20" s="181">
        <f t="shared" si="4"/>
        <v>191342</v>
      </c>
      <c r="AS20" s="127">
        <v>0</v>
      </c>
      <c r="AT20" s="128">
        <f t="shared" si="8"/>
        <v>191342</v>
      </c>
      <c r="AU20" s="128">
        <v>305</v>
      </c>
      <c r="AV20" s="143"/>
      <c r="AW20" s="179">
        <f t="shared" si="9"/>
        <v>191647</v>
      </c>
      <c r="AX20" s="130">
        <f t="shared" si="5"/>
        <v>305</v>
      </c>
      <c r="AY20" s="131">
        <f t="shared" si="6"/>
        <v>0</v>
      </c>
      <c r="AZ20" s="132"/>
      <c r="BA20" s="133"/>
      <c r="BB20" s="133"/>
      <c r="BC20" s="133"/>
      <c r="BD20" s="133"/>
      <c r="BE20" s="133"/>
      <c r="BF20" s="133"/>
      <c r="BG20" s="133"/>
      <c r="BH20" s="133"/>
      <c r="BI20" s="133"/>
      <c r="BJ20" s="133"/>
      <c r="BK20" s="133"/>
      <c r="BL20" s="133"/>
      <c r="BM20" s="133"/>
      <c r="BN20" s="133"/>
      <c r="BO20" s="133"/>
      <c r="BP20" s="133"/>
      <c r="BQ20" s="133"/>
      <c r="BR20" s="133"/>
      <c r="BS20" s="133"/>
      <c r="BT20" s="133"/>
      <c r="BU20" s="133"/>
      <c r="BV20" s="134">
        <f t="shared" si="0"/>
        <v>0</v>
      </c>
      <c r="BW20" s="135"/>
      <c r="BX20" s="139">
        <v>15</v>
      </c>
      <c r="BY20" s="139" t="s">
        <v>13</v>
      </c>
      <c r="BZ20" s="149"/>
      <c r="CA20" s="138"/>
      <c r="CB20" s="138"/>
      <c r="CC20" s="138"/>
      <c r="CD20" s="150" t="s">
        <v>122</v>
      </c>
      <c r="CE20" s="135"/>
      <c r="CF20" s="151">
        <f t="shared" si="7"/>
        <v>191647</v>
      </c>
      <c r="CG20" s="135"/>
      <c r="CH20" s="135"/>
      <c r="CI20" s="135"/>
      <c r="CJ20" s="135"/>
      <c r="CK20" s="135"/>
    </row>
    <row r="21" spans="1:89" s="141" customFormat="1" ht="60" customHeight="1">
      <c r="A21" s="119">
        <v>17</v>
      </c>
      <c r="B21" s="120" t="s">
        <v>14</v>
      </c>
      <c r="C21" s="121">
        <v>150000</v>
      </c>
      <c r="D21" s="122">
        <v>0</v>
      </c>
      <c r="E21" s="122">
        <v>0</v>
      </c>
      <c r="F21" s="122">
        <v>282178</v>
      </c>
      <c r="G21" s="122">
        <v>0</v>
      </c>
      <c r="H21" s="122">
        <v>0</v>
      </c>
      <c r="I21" s="122">
        <v>0</v>
      </c>
      <c r="J21" s="122">
        <v>0</v>
      </c>
      <c r="K21" s="122">
        <v>0</v>
      </c>
      <c r="L21" s="122">
        <v>0</v>
      </c>
      <c r="M21" s="122">
        <v>0</v>
      </c>
      <c r="N21" s="122"/>
      <c r="O21" s="142">
        <f t="shared" si="1"/>
        <v>432178</v>
      </c>
      <c r="P21" s="124">
        <v>2000</v>
      </c>
      <c r="Q21" s="125">
        <f>16740-0</f>
        <v>16740</v>
      </c>
      <c r="R21" s="125">
        <v>499</v>
      </c>
      <c r="S21" s="125">
        <f>22741-0</f>
        <v>22741</v>
      </c>
      <c r="T21" s="125">
        <v>499</v>
      </c>
      <c r="U21" s="125">
        <f>18774-0</f>
        <v>18774</v>
      </c>
      <c r="V21" s="125">
        <v>499</v>
      </c>
      <c r="W21" s="125">
        <f>48886-0</f>
        <v>48886</v>
      </c>
      <c r="X21" s="125">
        <v>499</v>
      </c>
      <c r="Y21" s="125">
        <f>26407-0</f>
        <v>26407</v>
      </c>
      <c r="Z21" s="125">
        <v>499</v>
      </c>
      <c r="AA21" s="125">
        <f>35959-0</f>
        <v>35959</v>
      </c>
      <c r="AB21" s="125">
        <v>499</v>
      </c>
      <c r="AC21" s="125">
        <f>34796-0</f>
        <v>34796</v>
      </c>
      <c r="AD21" s="125">
        <v>499</v>
      </c>
      <c r="AE21" s="125">
        <f>29625-0</f>
        <v>29625</v>
      </c>
      <c r="AF21" s="125">
        <v>0</v>
      </c>
      <c r="AG21" s="125">
        <f>29362-0</f>
        <v>29362</v>
      </c>
      <c r="AH21" s="125"/>
      <c r="AI21" s="125"/>
      <c r="AJ21" s="125"/>
      <c r="AK21" s="125"/>
      <c r="AL21" s="126"/>
      <c r="AM21" s="126"/>
      <c r="AN21" s="125">
        <f t="shared" si="2"/>
        <v>5493</v>
      </c>
      <c r="AO21" s="125">
        <f t="shared" si="2"/>
        <v>263290</v>
      </c>
      <c r="AP21" s="126">
        <v>0</v>
      </c>
      <c r="AQ21" s="180">
        <f t="shared" si="3"/>
        <v>268783</v>
      </c>
      <c r="AR21" s="182">
        <f t="shared" si="4"/>
        <v>163395</v>
      </c>
      <c r="AS21" s="127">
        <v>0</v>
      </c>
      <c r="AT21" s="128">
        <f t="shared" si="8"/>
        <v>163395</v>
      </c>
      <c r="AU21" s="128">
        <v>49</v>
      </c>
      <c r="AV21" s="143"/>
      <c r="AW21" s="179">
        <f t="shared" si="9"/>
        <v>163444</v>
      </c>
      <c r="AX21" s="130">
        <f t="shared" si="5"/>
        <v>49</v>
      </c>
      <c r="AY21" s="131">
        <f t="shared" si="6"/>
        <v>0</v>
      </c>
      <c r="AZ21" s="132"/>
      <c r="BA21" s="133"/>
      <c r="BB21" s="133"/>
      <c r="BC21" s="133"/>
      <c r="BD21" s="133"/>
      <c r="BE21" s="133"/>
      <c r="BF21" s="133"/>
      <c r="BG21" s="133"/>
      <c r="BH21" s="133"/>
      <c r="BI21" s="133"/>
      <c r="BJ21" s="133"/>
      <c r="BK21" s="133"/>
      <c r="BL21" s="133"/>
      <c r="BM21" s="133"/>
      <c r="BN21" s="133"/>
      <c r="BO21" s="133"/>
      <c r="BP21" s="133"/>
      <c r="BQ21" s="133"/>
      <c r="BR21" s="133"/>
      <c r="BS21" s="133"/>
      <c r="BT21" s="133"/>
      <c r="BU21" s="133"/>
      <c r="BV21" s="134">
        <f t="shared" si="0"/>
        <v>0</v>
      </c>
      <c r="BW21" s="135"/>
      <c r="BX21" s="139">
        <v>16</v>
      </c>
      <c r="BY21" s="139" t="s">
        <v>14</v>
      </c>
      <c r="BZ21" s="139"/>
      <c r="CA21" s="138"/>
      <c r="CB21" s="138"/>
      <c r="CC21" s="138"/>
      <c r="CD21" s="144"/>
      <c r="CE21" s="135"/>
      <c r="CF21" s="140">
        <f t="shared" si="7"/>
        <v>163444</v>
      </c>
      <c r="CG21" s="135"/>
      <c r="CH21" s="135"/>
      <c r="CI21" s="135"/>
      <c r="CJ21" s="135"/>
      <c r="CK21" s="135"/>
    </row>
    <row r="22" spans="1:89" s="141" customFormat="1" ht="60" customHeight="1">
      <c r="A22" s="119">
        <v>18</v>
      </c>
      <c r="B22" s="120" t="s">
        <v>15</v>
      </c>
      <c r="C22" s="121">
        <v>150000</v>
      </c>
      <c r="D22" s="122">
        <v>0</v>
      </c>
      <c r="E22" s="122">
        <v>0</v>
      </c>
      <c r="F22" s="122">
        <v>174698</v>
      </c>
      <c r="G22" s="122">
        <v>0</v>
      </c>
      <c r="H22" s="122">
        <v>192600</v>
      </c>
      <c r="I22" s="122">
        <v>0</v>
      </c>
      <c r="J22" s="122">
        <v>0</v>
      </c>
      <c r="K22" s="122">
        <v>0</v>
      </c>
      <c r="L22" s="122">
        <v>0</v>
      </c>
      <c r="M22" s="122">
        <v>0</v>
      </c>
      <c r="N22" s="122"/>
      <c r="O22" s="142">
        <f t="shared" si="1"/>
        <v>517298</v>
      </c>
      <c r="P22" s="124">
        <v>0</v>
      </c>
      <c r="Q22" s="125">
        <f>17554-310</f>
        <v>17244</v>
      </c>
      <c r="R22" s="125">
        <v>2000</v>
      </c>
      <c r="S22" s="125">
        <f>17460-310</f>
        <v>17150</v>
      </c>
      <c r="T22" s="125">
        <v>499</v>
      </c>
      <c r="U22" s="125">
        <f>22767-310</f>
        <v>22457</v>
      </c>
      <c r="V22" s="125">
        <v>499</v>
      </c>
      <c r="W22" s="125">
        <f>19425-310</f>
        <v>19115</v>
      </c>
      <c r="X22" s="125">
        <v>499</v>
      </c>
      <c r="Y22" s="125">
        <f>23085-310</f>
        <v>22775</v>
      </c>
      <c r="Z22" s="125">
        <v>499</v>
      </c>
      <c r="AA22" s="125">
        <f>22265-310</f>
        <v>21955</v>
      </c>
      <c r="AB22" s="125">
        <v>499</v>
      </c>
      <c r="AC22" s="125">
        <f>18730-310</f>
        <v>18420</v>
      </c>
      <c r="AD22" s="125">
        <v>193099</v>
      </c>
      <c r="AE22" s="125">
        <f>22088-310</f>
        <v>21778</v>
      </c>
      <c r="AF22" s="125">
        <v>499</v>
      </c>
      <c r="AG22" s="125">
        <f>17730-310</f>
        <v>17420</v>
      </c>
      <c r="AH22" s="125"/>
      <c r="AI22" s="125"/>
      <c r="AJ22" s="125"/>
      <c r="AK22" s="125"/>
      <c r="AL22" s="126"/>
      <c r="AM22" s="126"/>
      <c r="AN22" s="125">
        <f t="shared" si="2"/>
        <v>198093</v>
      </c>
      <c r="AO22" s="125">
        <f t="shared" si="2"/>
        <v>178314</v>
      </c>
      <c r="AP22" s="126">
        <v>0</v>
      </c>
      <c r="AQ22" s="180">
        <f t="shared" si="3"/>
        <v>376407</v>
      </c>
      <c r="AR22" s="181">
        <f t="shared" si="4"/>
        <v>140891</v>
      </c>
      <c r="AS22" s="127">
        <v>0</v>
      </c>
      <c r="AT22" s="128">
        <f t="shared" si="8"/>
        <v>140891</v>
      </c>
      <c r="AU22" s="128">
        <v>45</v>
      </c>
      <c r="AV22" s="143"/>
      <c r="AW22" s="179">
        <f t="shared" si="9"/>
        <v>140936</v>
      </c>
      <c r="AX22" s="130">
        <f t="shared" si="5"/>
        <v>45</v>
      </c>
      <c r="AY22" s="131">
        <f t="shared" si="6"/>
        <v>0</v>
      </c>
      <c r="AZ22" s="132"/>
      <c r="BA22" s="133"/>
      <c r="BB22" s="133"/>
      <c r="BC22" s="133"/>
      <c r="BD22" s="133"/>
      <c r="BE22" s="133"/>
      <c r="BF22" s="133"/>
      <c r="BG22" s="133"/>
      <c r="BH22" s="133"/>
      <c r="BI22" s="133"/>
      <c r="BJ22" s="133"/>
      <c r="BK22" s="133"/>
      <c r="BL22" s="133"/>
      <c r="BM22" s="133"/>
      <c r="BN22" s="133"/>
      <c r="BO22" s="133"/>
      <c r="BP22" s="133"/>
      <c r="BQ22" s="133"/>
      <c r="BR22" s="133"/>
      <c r="BS22" s="133"/>
      <c r="BT22" s="133"/>
      <c r="BU22" s="133"/>
      <c r="BV22" s="134">
        <f t="shared" si="0"/>
        <v>0</v>
      </c>
      <c r="BW22" s="135"/>
      <c r="BX22" s="139">
        <v>17</v>
      </c>
      <c r="BY22" s="139" t="s">
        <v>15</v>
      </c>
      <c r="BZ22" s="139"/>
      <c r="CA22" s="138"/>
      <c r="CB22" s="138"/>
      <c r="CC22" s="138"/>
      <c r="CD22" s="144"/>
      <c r="CE22" s="135"/>
      <c r="CF22" s="140">
        <f t="shared" si="7"/>
        <v>140936</v>
      </c>
      <c r="CG22" s="135"/>
      <c r="CH22" s="135"/>
      <c r="CI22" s="135"/>
      <c r="CJ22" s="135"/>
      <c r="CK22" s="135"/>
    </row>
    <row r="23" spans="1:89" s="141" customFormat="1" ht="60" customHeight="1">
      <c r="A23" s="119">
        <v>19</v>
      </c>
      <c r="B23" s="120" t="s">
        <v>16</v>
      </c>
      <c r="C23" s="121">
        <v>150000</v>
      </c>
      <c r="D23" s="122">
        <v>0</v>
      </c>
      <c r="E23" s="122">
        <v>0</v>
      </c>
      <c r="F23" s="122">
        <v>211730</v>
      </c>
      <c r="G23" s="122">
        <v>0</v>
      </c>
      <c r="H23" s="122">
        <f>815000+39600</f>
        <v>854600</v>
      </c>
      <c r="I23" s="122">
        <v>0</v>
      </c>
      <c r="J23" s="122">
        <v>0</v>
      </c>
      <c r="K23" s="122">
        <v>0</v>
      </c>
      <c r="L23" s="122">
        <v>0</v>
      </c>
      <c r="M23" s="122">
        <v>0</v>
      </c>
      <c r="N23" s="122"/>
      <c r="O23" s="142">
        <f t="shared" si="1"/>
        <v>1216330</v>
      </c>
      <c r="P23" s="124">
        <v>2000</v>
      </c>
      <c r="Q23" s="125">
        <f>1560-1560</f>
        <v>0</v>
      </c>
      <c r="R23" s="125">
        <v>0</v>
      </c>
      <c r="S23" s="125">
        <f>39114-1560</f>
        <v>37554</v>
      </c>
      <c r="T23" s="125">
        <v>499</v>
      </c>
      <c r="U23" s="125">
        <f>4525-1560</f>
        <v>2965</v>
      </c>
      <c r="V23" s="125">
        <v>499</v>
      </c>
      <c r="W23" s="125">
        <f>38810-1560</f>
        <v>37250</v>
      </c>
      <c r="X23" s="125">
        <v>998</v>
      </c>
      <c r="Y23" s="125">
        <f>23319-1560</f>
        <v>21759</v>
      </c>
      <c r="Z23" s="125">
        <v>0</v>
      </c>
      <c r="AA23" s="125">
        <f>28517-1560</f>
        <v>26957</v>
      </c>
      <c r="AB23" s="125">
        <v>499</v>
      </c>
      <c r="AC23" s="125">
        <f>21603-1560</f>
        <v>20043</v>
      </c>
      <c r="AD23" s="125">
        <v>30499</v>
      </c>
      <c r="AE23" s="125">
        <f>19639-1560</f>
        <v>18079</v>
      </c>
      <c r="AF23" s="125">
        <v>499</v>
      </c>
      <c r="AG23" s="125">
        <f>23067-1560</f>
        <v>21507</v>
      </c>
      <c r="AH23" s="125"/>
      <c r="AI23" s="125"/>
      <c r="AJ23" s="125"/>
      <c r="AK23" s="125"/>
      <c r="AL23" s="126"/>
      <c r="AM23" s="126"/>
      <c r="AN23" s="125">
        <f>SUM(P23,R23,T23,V23,X23,Z23,AB23,AD23,AF23,AH23,AJ23,AL23)</f>
        <v>35493</v>
      </c>
      <c r="AO23" s="125">
        <f>SUM(Q23,S23,U23,W23,Y23,AA23,AC23,AE23,AG23,AI23,AK23,AM23)</f>
        <v>186114</v>
      </c>
      <c r="AP23" s="126">
        <v>0</v>
      </c>
      <c r="AQ23" s="180">
        <f t="shared" si="3"/>
        <v>221607</v>
      </c>
      <c r="AR23" s="181">
        <f t="shared" si="4"/>
        <v>994723</v>
      </c>
      <c r="AS23" s="127">
        <v>0</v>
      </c>
      <c r="AT23" s="128">
        <f t="shared" si="8"/>
        <v>994723</v>
      </c>
      <c r="AU23" s="128">
        <v>219</v>
      </c>
      <c r="AV23" s="143"/>
      <c r="AW23" s="179">
        <f t="shared" si="9"/>
        <v>994942</v>
      </c>
      <c r="AX23" s="130">
        <f t="shared" si="5"/>
        <v>219</v>
      </c>
      <c r="AY23" s="131">
        <f t="shared" si="6"/>
        <v>0</v>
      </c>
      <c r="AZ23" s="132"/>
      <c r="BA23" s="133"/>
      <c r="BB23" s="133"/>
      <c r="BC23" s="133"/>
      <c r="BD23" s="133"/>
      <c r="BE23" s="133"/>
      <c r="BF23" s="133"/>
      <c r="BG23" s="133"/>
      <c r="BH23" s="133"/>
      <c r="BI23" s="133"/>
      <c r="BJ23" s="133"/>
      <c r="BK23" s="133"/>
      <c r="BL23" s="133"/>
      <c r="BM23" s="133"/>
      <c r="BN23" s="133"/>
      <c r="BO23" s="133"/>
      <c r="BP23" s="133"/>
      <c r="BQ23" s="133"/>
      <c r="BR23" s="133"/>
      <c r="BS23" s="133"/>
      <c r="BT23" s="133"/>
      <c r="BU23" s="133"/>
      <c r="BV23" s="134">
        <f t="shared" si="0"/>
        <v>0</v>
      </c>
      <c r="BW23" s="135"/>
      <c r="BX23" s="139">
        <v>18</v>
      </c>
      <c r="BY23" s="139" t="s">
        <v>16</v>
      </c>
      <c r="BZ23" s="139"/>
      <c r="CA23" s="138"/>
      <c r="CB23" s="138"/>
      <c r="CC23" s="138"/>
      <c r="CD23" s="144"/>
      <c r="CE23" s="135"/>
      <c r="CF23" s="140">
        <f t="shared" si="7"/>
        <v>994942</v>
      </c>
      <c r="CG23" s="135"/>
      <c r="CH23" s="135"/>
      <c r="CI23" s="135"/>
      <c r="CJ23" s="135"/>
      <c r="CK23" s="135"/>
    </row>
    <row r="24" spans="1:89" s="141" customFormat="1" ht="60" customHeight="1">
      <c r="A24" s="119">
        <v>20</v>
      </c>
      <c r="B24" s="120" t="s">
        <v>17</v>
      </c>
      <c r="C24" s="121">
        <v>150000</v>
      </c>
      <c r="D24" s="122">
        <v>0</v>
      </c>
      <c r="E24" s="122">
        <v>0</v>
      </c>
      <c r="F24" s="122">
        <v>308878</v>
      </c>
      <c r="G24" s="122">
        <v>0</v>
      </c>
      <c r="H24" s="122">
        <v>27200</v>
      </c>
      <c r="I24" s="122">
        <v>0</v>
      </c>
      <c r="J24" s="122">
        <v>0</v>
      </c>
      <c r="K24" s="122">
        <v>0</v>
      </c>
      <c r="L24" s="122">
        <v>0</v>
      </c>
      <c r="M24" s="122">
        <v>0</v>
      </c>
      <c r="N24" s="122"/>
      <c r="O24" s="142">
        <f t="shared" si="1"/>
        <v>486078</v>
      </c>
      <c r="P24" s="124">
        <v>0</v>
      </c>
      <c r="Q24" s="125">
        <f>15500-0</f>
        <v>15500</v>
      </c>
      <c r="R24" s="125">
        <v>2499</v>
      </c>
      <c r="S24" s="125">
        <f>18783-0</f>
        <v>18783</v>
      </c>
      <c r="T24" s="125">
        <v>0</v>
      </c>
      <c r="U24" s="125">
        <f>0-0</f>
        <v>0</v>
      </c>
      <c r="V24" s="125">
        <v>0</v>
      </c>
      <c r="W24" s="125">
        <f>0-0</f>
        <v>0</v>
      </c>
      <c r="X24" s="125">
        <v>998</v>
      </c>
      <c r="Y24" s="125">
        <f>49790-0</f>
        <v>49790</v>
      </c>
      <c r="Z24" s="125">
        <v>499</v>
      </c>
      <c r="AA24" s="125">
        <f>18096-0</f>
        <v>18096</v>
      </c>
      <c r="AB24" s="125">
        <v>28198</v>
      </c>
      <c r="AC24" s="125">
        <f>18668-0</f>
        <v>18668</v>
      </c>
      <c r="AD24" s="125">
        <v>499</v>
      </c>
      <c r="AE24" s="125">
        <f>17059-0</f>
        <v>17059</v>
      </c>
      <c r="AF24" s="125">
        <v>0</v>
      </c>
      <c r="AG24" s="125">
        <f>19224-0</f>
        <v>19224</v>
      </c>
      <c r="AH24" s="125"/>
      <c r="AI24" s="125"/>
      <c r="AJ24" s="125"/>
      <c r="AK24" s="125"/>
      <c r="AL24" s="126"/>
      <c r="AM24" s="126"/>
      <c r="AN24" s="125">
        <f t="shared" si="2"/>
        <v>32693</v>
      </c>
      <c r="AO24" s="125">
        <f t="shared" si="2"/>
        <v>157120</v>
      </c>
      <c r="AP24" s="126">
        <v>0</v>
      </c>
      <c r="AQ24" s="180">
        <f t="shared" si="3"/>
        <v>189813</v>
      </c>
      <c r="AR24" s="181">
        <f t="shared" si="4"/>
        <v>296265</v>
      </c>
      <c r="AS24" s="127">
        <v>0</v>
      </c>
      <c r="AT24" s="128">
        <f t="shared" si="8"/>
        <v>296265</v>
      </c>
      <c r="AU24" s="128">
        <v>70</v>
      </c>
      <c r="AV24" s="143"/>
      <c r="AW24" s="179">
        <f t="shared" si="9"/>
        <v>296335</v>
      </c>
      <c r="AX24" s="130">
        <f t="shared" si="5"/>
        <v>70</v>
      </c>
      <c r="AY24" s="131">
        <f t="shared" si="6"/>
        <v>0</v>
      </c>
      <c r="AZ24" s="132"/>
      <c r="BA24" s="133"/>
      <c r="BB24" s="133"/>
      <c r="BC24" s="133"/>
      <c r="BD24" s="133"/>
      <c r="BE24" s="133"/>
      <c r="BF24" s="133"/>
      <c r="BG24" s="133"/>
      <c r="BH24" s="133"/>
      <c r="BI24" s="133"/>
      <c r="BJ24" s="133"/>
      <c r="BK24" s="133"/>
      <c r="BL24" s="133"/>
      <c r="BM24" s="133"/>
      <c r="BN24" s="133"/>
      <c r="BO24" s="133"/>
      <c r="BP24" s="133"/>
      <c r="BQ24" s="133"/>
      <c r="BR24" s="133"/>
      <c r="BS24" s="133"/>
      <c r="BT24" s="133"/>
      <c r="BU24" s="133"/>
      <c r="BV24" s="134">
        <f t="shared" si="0"/>
        <v>0</v>
      </c>
      <c r="BW24" s="135"/>
      <c r="BX24" s="139">
        <v>19</v>
      </c>
      <c r="BY24" s="139" t="s">
        <v>17</v>
      </c>
      <c r="BZ24" s="139"/>
      <c r="CA24" s="138"/>
      <c r="CB24" s="138"/>
      <c r="CC24" s="138"/>
      <c r="CD24" s="144"/>
      <c r="CE24" s="135"/>
      <c r="CF24" s="140">
        <f t="shared" si="7"/>
        <v>296335</v>
      </c>
      <c r="CG24" s="135"/>
      <c r="CH24" s="135"/>
      <c r="CI24" s="135"/>
      <c r="CJ24" s="135"/>
      <c r="CK24" s="135"/>
    </row>
    <row r="25" spans="1:89" s="141" customFormat="1" ht="60" customHeight="1">
      <c r="A25" s="119">
        <v>21</v>
      </c>
      <c r="B25" s="120" t="s">
        <v>18</v>
      </c>
      <c r="C25" s="121">
        <v>150000</v>
      </c>
      <c r="D25" s="122">
        <v>0</v>
      </c>
      <c r="E25" s="122">
        <v>0</v>
      </c>
      <c r="F25" s="122">
        <v>162638</v>
      </c>
      <c r="G25" s="122">
        <v>0</v>
      </c>
      <c r="H25" s="122">
        <v>0</v>
      </c>
      <c r="I25" s="122">
        <v>0</v>
      </c>
      <c r="J25" s="122">
        <v>0</v>
      </c>
      <c r="K25" s="122">
        <v>0</v>
      </c>
      <c r="L25" s="122">
        <v>0</v>
      </c>
      <c r="M25" s="122">
        <v>0</v>
      </c>
      <c r="N25" s="122"/>
      <c r="O25" s="142">
        <f t="shared" si="1"/>
        <v>312638</v>
      </c>
      <c r="P25" s="124">
        <v>0</v>
      </c>
      <c r="Q25" s="125">
        <f>13000-0</f>
        <v>13000</v>
      </c>
      <c r="R25" s="125">
        <v>2287</v>
      </c>
      <c r="S25" s="125">
        <f>17000-0</f>
        <v>17000</v>
      </c>
      <c r="T25" s="125">
        <v>0</v>
      </c>
      <c r="U25" s="125">
        <f>865-0</f>
        <v>865</v>
      </c>
      <c r="V25" s="125">
        <v>998</v>
      </c>
      <c r="W25" s="125">
        <f>31374-0</f>
        <v>31374</v>
      </c>
      <c r="X25" s="125">
        <v>499</v>
      </c>
      <c r="Y25" s="125">
        <f>14878-0</f>
        <v>14878</v>
      </c>
      <c r="Z25" s="125">
        <v>0</v>
      </c>
      <c r="AA25" s="125">
        <f>13000-0</f>
        <v>13000</v>
      </c>
      <c r="AB25" s="125">
        <v>998</v>
      </c>
      <c r="AC25" s="125">
        <f>16022-0</f>
        <v>16022</v>
      </c>
      <c r="AD25" s="125">
        <v>499</v>
      </c>
      <c r="AE25" s="125">
        <f>21189-0</f>
        <v>21189</v>
      </c>
      <c r="AF25" s="125">
        <v>499</v>
      </c>
      <c r="AG25" s="125">
        <f>16676-0</f>
        <v>16676</v>
      </c>
      <c r="AH25" s="125"/>
      <c r="AI25" s="125"/>
      <c r="AJ25" s="125"/>
      <c r="AK25" s="125"/>
      <c r="AL25" s="126"/>
      <c r="AM25" s="126"/>
      <c r="AN25" s="125">
        <f t="shared" si="2"/>
        <v>5780</v>
      </c>
      <c r="AO25" s="125">
        <f t="shared" si="2"/>
        <v>144004</v>
      </c>
      <c r="AP25" s="126">
        <v>0</v>
      </c>
      <c r="AQ25" s="180">
        <f t="shared" si="3"/>
        <v>149784</v>
      </c>
      <c r="AR25" s="181">
        <f t="shared" si="4"/>
        <v>162854</v>
      </c>
      <c r="AS25" s="127">
        <v>0</v>
      </c>
      <c r="AT25" s="128">
        <f t="shared" si="8"/>
        <v>162854</v>
      </c>
      <c r="AU25" s="128">
        <v>41</v>
      </c>
      <c r="AV25" s="143"/>
      <c r="AW25" s="179">
        <f t="shared" si="9"/>
        <v>162895</v>
      </c>
      <c r="AX25" s="130">
        <f t="shared" si="5"/>
        <v>41</v>
      </c>
      <c r="AY25" s="131">
        <f t="shared" si="6"/>
        <v>0</v>
      </c>
      <c r="AZ25" s="132"/>
      <c r="BA25" s="133"/>
      <c r="BB25" s="133"/>
      <c r="BC25" s="133"/>
      <c r="BD25" s="133"/>
      <c r="BE25" s="133"/>
      <c r="BF25" s="133"/>
      <c r="BG25" s="133"/>
      <c r="BH25" s="133"/>
      <c r="BI25" s="133"/>
      <c r="BJ25" s="133"/>
      <c r="BK25" s="133"/>
      <c r="BL25" s="133"/>
      <c r="BM25" s="133"/>
      <c r="BN25" s="133"/>
      <c r="BO25" s="133"/>
      <c r="BP25" s="133"/>
      <c r="BQ25" s="133"/>
      <c r="BR25" s="133"/>
      <c r="BS25" s="133"/>
      <c r="BT25" s="133"/>
      <c r="BU25" s="133"/>
      <c r="BV25" s="134">
        <f t="shared" si="0"/>
        <v>0</v>
      </c>
      <c r="BW25" s="135"/>
      <c r="BX25" s="139">
        <v>20</v>
      </c>
      <c r="BY25" s="139" t="s">
        <v>18</v>
      </c>
      <c r="BZ25" s="139"/>
      <c r="CA25" s="138"/>
      <c r="CB25" s="138"/>
      <c r="CC25" s="138"/>
      <c r="CD25" s="144"/>
      <c r="CE25" s="135"/>
      <c r="CF25" s="140">
        <f t="shared" si="7"/>
        <v>162895</v>
      </c>
      <c r="CG25" s="135"/>
      <c r="CH25" s="135"/>
      <c r="CI25" s="135"/>
      <c r="CJ25" s="135"/>
      <c r="CK25" s="135"/>
    </row>
    <row r="26" spans="1:89" s="141" customFormat="1" ht="60" customHeight="1">
      <c r="A26" s="119">
        <v>22</v>
      </c>
      <c r="B26" s="120" t="s">
        <v>19</v>
      </c>
      <c r="C26" s="121">
        <v>150000</v>
      </c>
      <c r="D26" s="122">
        <v>0</v>
      </c>
      <c r="E26" s="122">
        <v>0</v>
      </c>
      <c r="F26" s="122">
        <v>134638</v>
      </c>
      <c r="G26" s="122">
        <v>0</v>
      </c>
      <c r="H26" s="122">
        <v>0</v>
      </c>
      <c r="I26" s="122">
        <v>0</v>
      </c>
      <c r="J26" s="122">
        <v>0</v>
      </c>
      <c r="K26" s="122">
        <v>0</v>
      </c>
      <c r="L26" s="122">
        <v>0</v>
      </c>
      <c r="M26" s="122">
        <v>0</v>
      </c>
      <c r="N26" s="122"/>
      <c r="O26" s="142">
        <f t="shared" si="1"/>
        <v>284638</v>
      </c>
      <c r="P26" s="124">
        <v>0</v>
      </c>
      <c r="Q26" s="125">
        <f>15150-0</f>
        <v>15150</v>
      </c>
      <c r="R26" s="125">
        <v>499</v>
      </c>
      <c r="S26" s="125">
        <f>15301-0</f>
        <v>15301</v>
      </c>
      <c r="T26" s="125">
        <v>499</v>
      </c>
      <c r="U26" s="125">
        <f>15719-0</f>
        <v>15719</v>
      </c>
      <c r="V26" s="125">
        <v>499</v>
      </c>
      <c r="W26" s="125">
        <f>15799-0</f>
        <v>15799</v>
      </c>
      <c r="X26" s="125">
        <v>499</v>
      </c>
      <c r="Y26" s="125">
        <f>15299-0</f>
        <v>15299</v>
      </c>
      <c r="Z26" s="125">
        <v>499</v>
      </c>
      <c r="AA26" s="125">
        <f>15314-0</f>
        <v>15314</v>
      </c>
      <c r="AB26" s="125">
        <v>499</v>
      </c>
      <c r="AC26" s="125">
        <f>15307-0</f>
        <v>15307</v>
      </c>
      <c r="AD26" s="125">
        <v>499</v>
      </c>
      <c r="AE26" s="125">
        <f>15301-0</f>
        <v>15301</v>
      </c>
      <c r="AF26" s="125">
        <v>499</v>
      </c>
      <c r="AG26" s="125">
        <f>15302-0</f>
        <v>15302</v>
      </c>
      <c r="AH26" s="125"/>
      <c r="AI26" s="125"/>
      <c r="AJ26" s="125"/>
      <c r="AK26" s="125"/>
      <c r="AL26" s="126"/>
      <c r="AM26" s="126"/>
      <c r="AN26" s="125">
        <f t="shared" si="2"/>
        <v>3992</v>
      </c>
      <c r="AO26" s="125">
        <f t="shared" si="2"/>
        <v>138492</v>
      </c>
      <c r="AP26" s="126">
        <v>0</v>
      </c>
      <c r="AQ26" s="180">
        <f t="shared" si="3"/>
        <v>142484</v>
      </c>
      <c r="AR26" s="181">
        <f t="shared" si="4"/>
        <v>142154</v>
      </c>
      <c r="AS26" s="127">
        <v>0</v>
      </c>
      <c r="AT26" s="128">
        <f t="shared" si="8"/>
        <v>142154</v>
      </c>
      <c r="AU26" s="128">
        <v>34</v>
      </c>
      <c r="AV26" s="143"/>
      <c r="AW26" s="179">
        <f t="shared" si="9"/>
        <v>142188</v>
      </c>
      <c r="AX26" s="130">
        <f t="shared" si="5"/>
        <v>34</v>
      </c>
      <c r="AY26" s="131">
        <f t="shared" si="6"/>
        <v>0</v>
      </c>
      <c r="AZ26" s="132"/>
      <c r="BA26" s="133"/>
      <c r="BB26" s="133"/>
      <c r="BC26" s="133"/>
      <c r="BD26" s="133"/>
      <c r="BE26" s="133"/>
      <c r="BF26" s="133"/>
      <c r="BG26" s="133"/>
      <c r="BH26" s="133"/>
      <c r="BI26" s="133"/>
      <c r="BJ26" s="133"/>
      <c r="BK26" s="133"/>
      <c r="BL26" s="133"/>
      <c r="BM26" s="133"/>
      <c r="BN26" s="133"/>
      <c r="BO26" s="133"/>
      <c r="BP26" s="133"/>
      <c r="BQ26" s="133"/>
      <c r="BR26" s="133"/>
      <c r="BS26" s="133"/>
      <c r="BT26" s="133"/>
      <c r="BU26" s="133"/>
      <c r="BV26" s="134">
        <f t="shared" si="0"/>
        <v>0</v>
      </c>
      <c r="BW26" s="135"/>
      <c r="BX26" s="139">
        <v>21</v>
      </c>
      <c r="BY26" s="139" t="s">
        <v>19</v>
      </c>
      <c r="BZ26" s="139"/>
      <c r="CA26" s="138"/>
      <c r="CB26" s="138"/>
      <c r="CC26" s="138"/>
      <c r="CD26" s="144"/>
      <c r="CE26" s="135"/>
      <c r="CF26" s="140">
        <f t="shared" si="7"/>
        <v>142188</v>
      </c>
      <c r="CG26" s="135"/>
      <c r="CH26" s="135"/>
      <c r="CI26" s="135"/>
      <c r="CJ26" s="135"/>
      <c r="CK26" s="135"/>
    </row>
    <row r="27" spans="1:89" s="141" customFormat="1" ht="60" customHeight="1">
      <c r="A27" s="119">
        <v>23</v>
      </c>
      <c r="B27" s="120" t="s">
        <v>20</v>
      </c>
      <c r="C27" s="121">
        <v>150000</v>
      </c>
      <c r="D27" s="122">
        <v>0</v>
      </c>
      <c r="E27" s="122">
        <v>0</v>
      </c>
      <c r="F27" s="122">
        <v>217778</v>
      </c>
      <c r="G27" s="122">
        <v>0</v>
      </c>
      <c r="H27" s="122">
        <v>124000</v>
      </c>
      <c r="I27" s="122">
        <v>0</v>
      </c>
      <c r="J27" s="122">
        <v>0</v>
      </c>
      <c r="K27" s="122">
        <v>0</v>
      </c>
      <c r="L27" s="122">
        <v>0</v>
      </c>
      <c r="M27" s="122">
        <v>0</v>
      </c>
      <c r="N27" s="122"/>
      <c r="O27" s="142">
        <f t="shared" si="1"/>
        <v>491778</v>
      </c>
      <c r="P27" s="124">
        <v>0</v>
      </c>
      <c r="Q27" s="125">
        <f>22341-1976</f>
        <v>20365</v>
      </c>
      <c r="R27" s="125">
        <v>2499</v>
      </c>
      <c r="S27" s="125">
        <f>22292-1976</f>
        <v>20316</v>
      </c>
      <c r="T27" s="125">
        <v>499</v>
      </c>
      <c r="U27" s="125">
        <f>21913-1976</f>
        <v>19937</v>
      </c>
      <c r="V27" s="125">
        <v>0</v>
      </c>
      <c r="W27" s="125">
        <f>20503-1976</f>
        <v>18527</v>
      </c>
      <c r="X27" s="125">
        <v>499</v>
      </c>
      <c r="Y27" s="125">
        <f>24441-1976</f>
        <v>22465</v>
      </c>
      <c r="Z27" s="125">
        <v>499</v>
      </c>
      <c r="AA27" s="125">
        <f>27971-1976</f>
        <v>25995</v>
      </c>
      <c r="AB27" s="125">
        <v>124499</v>
      </c>
      <c r="AC27" s="125">
        <f>28367-1976</f>
        <v>26391</v>
      </c>
      <c r="AD27" s="125">
        <v>499</v>
      </c>
      <c r="AE27" s="125">
        <f>22671-1976</f>
        <v>20695</v>
      </c>
      <c r="AF27" s="125">
        <v>499</v>
      </c>
      <c r="AG27" s="125">
        <f>25436-1976</f>
        <v>23460</v>
      </c>
      <c r="AH27" s="125"/>
      <c r="AI27" s="125"/>
      <c r="AJ27" s="125"/>
      <c r="AK27" s="125"/>
      <c r="AL27" s="126"/>
      <c r="AM27" s="126"/>
      <c r="AN27" s="125">
        <f t="shared" si="2"/>
        <v>129493</v>
      </c>
      <c r="AO27" s="125">
        <f t="shared" si="2"/>
        <v>198151</v>
      </c>
      <c r="AP27" s="126">
        <v>0</v>
      </c>
      <c r="AQ27" s="180">
        <f t="shared" si="3"/>
        <v>327644</v>
      </c>
      <c r="AR27" s="182">
        <f>O27-AQ27</f>
        <v>164134</v>
      </c>
      <c r="AS27" s="127">
        <v>0</v>
      </c>
      <c r="AT27" s="128">
        <f t="shared" si="8"/>
        <v>164134</v>
      </c>
      <c r="AU27" s="128">
        <v>675</v>
      </c>
      <c r="AV27" s="143"/>
      <c r="AW27" s="179">
        <f t="shared" si="9"/>
        <v>164809</v>
      </c>
      <c r="AX27" s="130">
        <f t="shared" si="5"/>
        <v>675</v>
      </c>
      <c r="AY27" s="131">
        <f>AU27+AV27-AX27</f>
        <v>0</v>
      </c>
      <c r="AZ27" s="132"/>
      <c r="BA27" s="133"/>
      <c r="BB27" s="133"/>
      <c r="BC27" s="133"/>
      <c r="BD27" s="133"/>
      <c r="BE27" s="133"/>
      <c r="BF27" s="133"/>
      <c r="BG27" s="133"/>
      <c r="BH27" s="133"/>
      <c r="BI27" s="133"/>
      <c r="BJ27" s="133"/>
      <c r="BK27" s="133"/>
      <c r="BL27" s="133"/>
      <c r="BM27" s="133"/>
      <c r="BN27" s="133"/>
      <c r="BO27" s="133"/>
      <c r="BP27" s="133"/>
      <c r="BQ27" s="133"/>
      <c r="BR27" s="133"/>
      <c r="BS27" s="133"/>
      <c r="BT27" s="133"/>
      <c r="BU27" s="133"/>
      <c r="BV27" s="134">
        <f t="shared" si="0"/>
        <v>0</v>
      </c>
      <c r="BW27" s="135"/>
      <c r="BX27" s="139">
        <v>22</v>
      </c>
      <c r="BY27" s="139" t="s">
        <v>20</v>
      </c>
      <c r="BZ27" s="139"/>
      <c r="CA27" s="138"/>
      <c r="CB27" s="138"/>
      <c r="CC27" s="138"/>
      <c r="CD27" s="144"/>
      <c r="CE27" s="135"/>
      <c r="CF27" s="140">
        <f t="shared" si="7"/>
        <v>164809</v>
      </c>
      <c r="CG27" s="135"/>
      <c r="CH27" s="135"/>
      <c r="CI27" s="135"/>
      <c r="CJ27" s="135"/>
      <c r="CK27" s="135"/>
    </row>
    <row r="28" spans="1:89" s="141" customFormat="1" ht="50.25" customHeight="1">
      <c r="A28" s="152"/>
      <c r="B28" s="153"/>
      <c r="C28" s="154">
        <f>SUM(C5:C27)</f>
        <v>3300000</v>
      </c>
      <c r="D28" s="155">
        <f t="shared" ref="D28:N28" si="10">SUM(D5:D27)</f>
        <v>0</v>
      </c>
      <c r="E28" s="155">
        <f t="shared" si="10"/>
        <v>0</v>
      </c>
      <c r="F28" s="155">
        <f t="shared" si="10"/>
        <v>7312851</v>
      </c>
      <c r="G28" s="155">
        <f t="shared" si="10"/>
        <v>0</v>
      </c>
      <c r="H28" s="155">
        <f t="shared" si="10"/>
        <v>3769200</v>
      </c>
      <c r="I28" s="155">
        <f t="shared" si="10"/>
        <v>129500</v>
      </c>
      <c r="J28" s="155">
        <f t="shared" si="10"/>
        <v>1929152</v>
      </c>
      <c r="K28" s="155">
        <f t="shared" si="10"/>
        <v>0</v>
      </c>
      <c r="L28" s="155">
        <f t="shared" si="10"/>
        <v>229500</v>
      </c>
      <c r="M28" s="155">
        <f t="shared" si="10"/>
        <v>1225000</v>
      </c>
      <c r="N28" s="156">
        <f t="shared" si="10"/>
        <v>0</v>
      </c>
      <c r="O28" s="248">
        <f>SUM(C28:N28)</f>
        <v>17895203</v>
      </c>
      <c r="P28" s="124">
        <f t="shared" ref="P28:AV28" si="11">SUM(P5:P27)</f>
        <v>9999</v>
      </c>
      <c r="Q28" s="125">
        <f t="shared" si="11"/>
        <v>5460301</v>
      </c>
      <c r="R28" s="125">
        <f t="shared" si="11"/>
        <v>78556</v>
      </c>
      <c r="S28" s="125">
        <f t="shared" si="11"/>
        <v>3684773</v>
      </c>
      <c r="T28" s="125">
        <f t="shared" si="11"/>
        <v>67713</v>
      </c>
      <c r="U28" s="125">
        <f t="shared" si="11"/>
        <v>3748857</v>
      </c>
      <c r="V28" s="125">
        <f t="shared" si="11"/>
        <v>69020</v>
      </c>
      <c r="W28" s="125">
        <f t="shared" si="11"/>
        <v>3754453</v>
      </c>
      <c r="X28" s="125">
        <f t="shared" si="11"/>
        <v>89803</v>
      </c>
      <c r="Y28" s="125">
        <f t="shared" si="11"/>
        <v>4068244</v>
      </c>
      <c r="Z28" s="125">
        <f t="shared" si="11"/>
        <v>170610</v>
      </c>
      <c r="AA28" s="125">
        <f t="shared" si="11"/>
        <v>4086054</v>
      </c>
      <c r="AB28" s="125">
        <f t="shared" si="11"/>
        <v>1856771</v>
      </c>
      <c r="AC28" s="125">
        <f t="shared" si="11"/>
        <v>3672019</v>
      </c>
      <c r="AD28" s="125">
        <f t="shared" si="11"/>
        <v>947757</v>
      </c>
      <c r="AE28" s="125">
        <f t="shared" si="11"/>
        <v>4688242</v>
      </c>
      <c r="AF28" s="125">
        <f t="shared" si="11"/>
        <v>377042</v>
      </c>
      <c r="AG28" s="125">
        <f t="shared" si="11"/>
        <v>3995155</v>
      </c>
      <c r="AH28" s="125">
        <f t="shared" si="11"/>
        <v>47862</v>
      </c>
      <c r="AI28" s="125">
        <f t="shared" si="11"/>
        <v>3283906</v>
      </c>
      <c r="AJ28" s="125">
        <f t="shared" si="11"/>
        <v>0</v>
      </c>
      <c r="AK28" s="125">
        <f t="shared" si="11"/>
        <v>0</v>
      </c>
      <c r="AL28" s="125">
        <f t="shared" si="11"/>
        <v>0</v>
      </c>
      <c r="AM28" s="125">
        <f t="shared" si="11"/>
        <v>0</v>
      </c>
      <c r="AN28" s="250">
        <f t="shared" si="11"/>
        <v>3715133</v>
      </c>
      <c r="AO28" s="250">
        <f t="shared" si="11"/>
        <v>40442004</v>
      </c>
      <c r="AP28" s="250">
        <f t="shared" si="11"/>
        <v>649600</v>
      </c>
      <c r="AQ28" s="252">
        <f t="shared" si="11"/>
        <v>44806737</v>
      </c>
      <c r="AR28" s="254">
        <f>SUM(AR5:AR27)</f>
        <v>25341263</v>
      </c>
      <c r="AS28" s="256">
        <f t="shared" si="11"/>
        <v>0</v>
      </c>
      <c r="AT28" s="236">
        <f t="shared" si="11"/>
        <v>25341263</v>
      </c>
      <c r="AU28" s="236">
        <f t="shared" si="11"/>
        <v>4896</v>
      </c>
      <c r="AV28" s="236">
        <f t="shared" si="11"/>
        <v>0</v>
      </c>
      <c r="AW28" s="237">
        <f t="shared" si="9"/>
        <v>25346159</v>
      </c>
      <c r="AX28" s="238">
        <f>SUM(AX5:AX27)</f>
        <v>4896</v>
      </c>
      <c r="AY28" s="240">
        <f>AU28+AV28-AX28</f>
        <v>0</v>
      </c>
      <c r="AZ28" s="132"/>
      <c r="BA28" s="231">
        <f t="shared" ref="BA28:BV28" si="12">SUM(BA5:BA27)</f>
        <v>0</v>
      </c>
      <c r="BB28" s="231">
        <f t="shared" si="12"/>
        <v>0</v>
      </c>
      <c r="BC28" s="231">
        <f t="shared" si="12"/>
        <v>0</v>
      </c>
      <c r="BD28" s="231">
        <f t="shared" si="12"/>
        <v>0</v>
      </c>
      <c r="BE28" s="231">
        <f t="shared" si="12"/>
        <v>0</v>
      </c>
      <c r="BF28" s="231">
        <f t="shared" si="12"/>
        <v>0</v>
      </c>
      <c r="BG28" s="231">
        <f t="shared" si="12"/>
        <v>0</v>
      </c>
      <c r="BH28" s="231">
        <f t="shared" si="12"/>
        <v>0</v>
      </c>
      <c r="BI28" s="231">
        <f t="shared" si="12"/>
        <v>0</v>
      </c>
      <c r="BJ28" s="231">
        <f t="shared" si="12"/>
        <v>0</v>
      </c>
      <c r="BK28" s="231">
        <f t="shared" si="12"/>
        <v>0</v>
      </c>
      <c r="BL28" s="231">
        <f t="shared" si="12"/>
        <v>0</v>
      </c>
      <c r="BM28" s="231">
        <f t="shared" si="12"/>
        <v>0</v>
      </c>
      <c r="BN28" s="231">
        <f t="shared" si="12"/>
        <v>0</v>
      </c>
      <c r="BO28" s="231">
        <f t="shared" si="12"/>
        <v>0</v>
      </c>
      <c r="BP28" s="231">
        <f t="shared" si="12"/>
        <v>0</v>
      </c>
      <c r="BQ28" s="231">
        <f t="shared" si="12"/>
        <v>0</v>
      </c>
      <c r="BR28" s="231">
        <f t="shared" si="12"/>
        <v>0</v>
      </c>
      <c r="BS28" s="231">
        <f t="shared" si="12"/>
        <v>0</v>
      </c>
      <c r="BT28" s="231">
        <f t="shared" si="12"/>
        <v>0</v>
      </c>
      <c r="BU28" s="231">
        <f t="shared" si="12"/>
        <v>0</v>
      </c>
      <c r="BV28" s="231">
        <f t="shared" si="12"/>
        <v>0</v>
      </c>
      <c r="BW28" s="135"/>
      <c r="BX28" s="233" t="s">
        <v>86</v>
      </c>
      <c r="BY28" s="234"/>
      <c r="BZ28" s="235"/>
      <c r="CA28" s="157">
        <f>SUM(CA6:CA27)</f>
        <v>0</v>
      </c>
      <c r="CB28" s="157">
        <f>SUM(CB6:CB27)</f>
        <v>0</v>
      </c>
      <c r="CC28" s="157">
        <f>SUM(CC6:CC27)</f>
        <v>0</v>
      </c>
      <c r="CD28" s="158"/>
      <c r="CE28" s="135"/>
      <c r="CF28" s="140"/>
      <c r="CG28" s="135"/>
      <c r="CH28" s="135"/>
      <c r="CI28" s="135"/>
      <c r="CJ28" s="135"/>
      <c r="CK28" s="135"/>
    </row>
    <row r="29" spans="1:89" s="165" customFormat="1" ht="30.75" customHeight="1" thickBot="1">
      <c r="A29" s="162"/>
      <c r="B29" s="162"/>
      <c r="C29" s="163" t="s">
        <v>21</v>
      </c>
      <c r="D29" s="164" t="s">
        <v>22</v>
      </c>
      <c r="E29" s="164" t="s">
        <v>23</v>
      </c>
      <c r="F29" s="164" t="s">
        <v>24</v>
      </c>
      <c r="G29" s="164" t="s">
        <v>25</v>
      </c>
      <c r="H29" s="164" t="s">
        <v>26</v>
      </c>
      <c r="I29" s="164" t="s">
        <v>27</v>
      </c>
      <c r="J29" s="164" t="s">
        <v>28</v>
      </c>
      <c r="K29" s="164" t="s">
        <v>29</v>
      </c>
      <c r="L29" s="164" t="s">
        <v>30</v>
      </c>
      <c r="M29" s="164" t="s">
        <v>31</v>
      </c>
      <c r="N29" s="164" t="s">
        <v>32</v>
      </c>
      <c r="O29" s="249"/>
      <c r="P29" s="242" t="s">
        <v>47</v>
      </c>
      <c r="Q29" s="230"/>
      <c r="R29" s="229" t="s">
        <v>49</v>
      </c>
      <c r="S29" s="230"/>
      <c r="T29" s="229" t="s">
        <v>50</v>
      </c>
      <c r="U29" s="230"/>
      <c r="V29" s="229" t="s">
        <v>51</v>
      </c>
      <c r="W29" s="230"/>
      <c r="X29" s="229" t="s">
        <v>52</v>
      </c>
      <c r="Y29" s="230"/>
      <c r="Z29" s="229" t="s">
        <v>53</v>
      </c>
      <c r="AA29" s="230"/>
      <c r="AB29" s="229" t="s">
        <v>54</v>
      </c>
      <c r="AC29" s="230"/>
      <c r="AD29" s="229" t="s">
        <v>55</v>
      </c>
      <c r="AE29" s="230"/>
      <c r="AF29" s="229" t="s">
        <v>56</v>
      </c>
      <c r="AG29" s="230"/>
      <c r="AH29" s="229" t="s">
        <v>57</v>
      </c>
      <c r="AI29" s="230"/>
      <c r="AJ29" s="229" t="s">
        <v>58</v>
      </c>
      <c r="AK29" s="230"/>
      <c r="AL29" s="229" t="s">
        <v>59</v>
      </c>
      <c r="AM29" s="230"/>
      <c r="AN29" s="251"/>
      <c r="AO29" s="251"/>
      <c r="AP29" s="251"/>
      <c r="AQ29" s="253"/>
      <c r="AR29" s="255"/>
      <c r="AS29" s="256"/>
      <c r="AT29" s="236"/>
      <c r="AU29" s="236"/>
      <c r="AV29" s="236"/>
      <c r="AW29" s="237"/>
      <c r="AX29" s="239"/>
      <c r="AY29" s="241"/>
      <c r="BA29" s="232"/>
      <c r="BB29" s="232"/>
      <c r="BC29" s="232"/>
      <c r="BD29" s="232"/>
      <c r="BE29" s="232"/>
      <c r="BF29" s="232"/>
      <c r="BG29" s="232"/>
      <c r="BH29" s="232"/>
      <c r="BI29" s="232"/>
      <c r="BJ29" s="232"/>
      <c r="BK29" s="232"/>
      <c r="BL29" s="232"/>
      <c r="BM29" s="232"/>
      <c r="BN29" s="232"/>
      <c r="BO29" s="232"/>
      <c r="BP29" s="232"/>
      <c r="BQ29" s="232"/>
      <c r="BR29" s="232"/>
      <c r="BS29" s="232"/>
      <c r="BT29" s="232"/>
      <c r="BU29" s="232"/>
      <c r="BV29" s="232"/>
      <c r="BX29" s="135"/>
      <c r="BY29" s="135"/>
      <c r="BZ29" s="135"/>
      <c r="CA29" s="135"/>
      <c r="CB29" s="135"/>
      <c r="CC29" s="135"/>
      <c r="CD29" s="135"/>
    </row>
    <row r="30" spans="1:89" ht="203.25" customHeight="1">
      <c r="BX30" s="29"/>
      <c r="BY30" s="29"/>
      <c r="BZ30" s="29"/>
      <c r="CA30" s="29"/>
      <c r="CB30" s="29"/>
      <c r="CC30" s="29"/>
      <c r="CD30" s="29"/>
    </row>
    <row r="31" spans="1:89">
      <c r="BX31" s="29"/>
      <c r="BY31" s="29"/>
      <c r="BZ31" s="29"/>
      <c r="CA31" s="29"/>
      <c r="CB31" s="29"/>
      <c r="CC31" s="29"/>
      <c r="CD31" s="29"/>
    </row>
    <row r="32" spans="1:89">
      <c r="BX32" s="45"/>
      <c r="BY32" s="45"/>
      <c r="BZ32" s="45"/>
      <c r="CA32" s="45"/>
      <c r="CB32" s="45"/>
      <c r="CC32" s="45"/>
      <c r="CD32" s="45"/>
    </row>
  </sheetData>
  <mergeCells count="100">
    <mergeCell ref="A2:B4"/>
    <mergeCell ref="C2:O2"/>
    <mergeCell ref="P2:AQ2"/>
    <mergeCell ref="AR2:AR4"/>
    <mergeCell ref="AS2:AW2"/>
    <mergeCell ref="AD3:AE3"/>
    <mergeCell ref="AF3:AG3"/>
    <mergeCell ref="AH3:AI3"/>
    <mergeCell ref="AJ3:AK3"/>
    <mergeCell ref="AT3:AV3"/>
    <mergeCell ref="AW3:AW4"/>
    <mergeCell ref="BA2:BV2"/>
    <mergeCell ref="BX2:CD2"/>
    <mergeCell ref="O3:O4"/>
    <mergeCell ref="P3:Q3"/>
    <mergeCell ref="R3:S3"/>
    <mergeCell ref="T3:U3"/>
    <mergeCell ref="V3:W3"/>
    <mergeCell ref="X3:Y3"/>
    <mergeCell ref="Z3:AA3"/>
    <mergeCell ref="AB3:AC3"/>
    <mergeCell ref="AX2:AY3"/>
    <mergeCell ref="BF3:BF4"/>
    <mergeCell ref="AL3:AM3"/>
    <mergeCell ref="AN3:AP3"/>
    <mergeCell ref="AQ3:AQ4"/>
    <mergeCell ref="AS3:AS4"/>
    <mergeCell ref="BA3:BA4"/>
    <mergeCell ref="BB3:BB4"/>
    <mergeCell ref="BC3:BC4"/>
    <mergeCell ref="BD3:BD4"/>
    <mergeCell ref="BE3:BE4"/>
    <mergeCell ref="BR3:BR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Z3:BZ4"/>
    <mergeCell ref="CA3:CC3"/>
    <mergeCell ref="O28:O29"/>
    <mergeCell ref="AN28:AN29"/>
    <mergeCell ref="AO28:AO29"/>
    <mergeCell ref="AP28:AP29"/>
    <mergeCell ref="AQ28:AQ29"/>
    <mergeCell ref="AR28:AR29"/>
    <mergeCell ref="AS28:AS29"/>
    <mergeCell ref="AT28:AT29"/>
    <mergeCell ref="BS3:BS4"/>
    <mergeCell ref="BT3:BT4"/>
    <mergeCell ref="BU3:BU4"/>
    <mergeCell ref="BV3:BV4"/>
    <mergeCell ref="BX3:BX4"/>
    <mergeCell ref="BY3:BY4"/>
    <mergeCell ref="Z29:AA29"/>
    <mergeCell ref="BN28:BN29"/>
    <mergeCell ref="BO28:BO29"/>
    <mergeCell ref="BP28:BP29"/>
    <mergeCell ref="BQ28:BQ29"/>
    <mergeCell ref="BH28:BH29"/>
    <mergeCell ref="BI28:BI29"/>
    <mergeCell ref="BJ28:BJ29"/>
    <mergeCell ref="BK28:BK29"/>
    <mergeCell ref="BL28:BL29"/>
    <mergeCell ref="BM28:BM29"/>
    <mergeCell ref="BB28:BB29"/>
    <mergeCell ref="BC28:BC29"/>
    <mergeCell ref="BD28:BD29"/>
    <mergeCell ref="BE28:BE29"/>
    <mergeCell ref="BF28:BF29"/>
    <mergeCell ref="P29:Q29"/>
    <mergeCell ref="R29:S29"/>
    <mergeCell ref="T29:U29"/>
    <mergeCell ref="V29:W29"/>
    <mergeCell ref="X29:Y29"/>
    <mergeCell ref="AL29:AM29"/>
    <mergeCell ref="BT28:BT29"/>
    <mergeCell ref="BU28:BU29"/>
    <mergeCell ref="BV28:BV29"/>
    <mergeCell ref="BX28:BZ28"/>
    <mergeCell ref="BR28:BR29"/>
    <mergeCell ref="BS28:BS29"/>
    <mergeCell ref="BG28:BG29"/>
    <mergeCell ref="AU28:AU29"/>
    <mergeCell ref="AV28:AV29"/>
    <mergeCell ref="AW28:AW29"/>
    <mergeCell ref="AX28:AX29"/>
    <mergeCell ref="AY28:AY29"/>
    <mergeCell ref="BA28:BA29"/>
    <mergeCell ref="AB29:AC29"/>
    <mergeCell ref="AD29:AE29"/>
    <mergeCell ref="AF29:AG29"/>
    <mergeCell ref="AH29:AI29"/>
    <mergeCell ref="AJ29:AK29"/>
  </mergeCells>
  <phoneticPr fontId="2" type="noConversion"/>
  <pageMargins left="0.19685039370078741" right="0.19685039370078741" top="0.74803149606299213" bottom="0.43307086614173229" header="0.31496062992125984" footer="0.31496062992125984"/>
  <pageSetup paperSize="8" scale="33" orientation="landscape" cellComments="asDisplayed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工作表3">
    <tabColor rgb="FFFF0000"/>
  </sheetPr>
  <dimension ref="A1:Q33"/>
  <sheetViews>
    <sheetView workbookViewId="0">
      <selection activeCell="B3" sqref="B3:C3"/>
    </sheetView>
  </sheetViews>
  <sheetFormatPr defaultRowHeight="16.5"/>
  <cols>
    <col min="1" max="1" width="9" style="1"/>
    <col min="2" max="2" width="12.5" customWidth="1"/>
    <col min="3" max="3" width="10.875" customWidth="1"/>
    <col min="4" max="4" width="14.125" customWidth="1"/>
    <col min="5" max="15" width="11.625" customWidth="1"/>
    <col min="16" max="16" width="15.125" customWidth="1"/>
    <col min="17" max="17" width="11.25" bestFit="1" customWidth="1"/>
  </cols>
  <sheetData>
    <row r="1" spans="1:17" ht="27" customHeight="1" thickBot="1">
      <c r="A1" s="78" t="s">
        <v>130</v>
      </c>
    </row>
    <row r="2" spans="1:17" s="1" customFormat="1" ht="55.5" customHeight="1">
      <c r="A2" s="310" t="s">
        <v>102</v>
      </c>
      <c r="B2" s="312" t="s">
        <v>99</v>
      </c>
      <c r="C2" s="312"/>
      <c r="D2" s="313"/>
      <c r="E2" s="319" t="s">
        <v>132</v>
      </c>
      <c r="F2" s="320"/>
      <c r="G2" s="321" t="s">
        <v>146</v>
      </c>
      <c r="H2" s="314" t="s">
        <v>103</v>
      </c>
      <c r="I2" s="315"/>
      <c r="J2" s="315"/>
      <c r="K2" s="315"/>
      <c r="L2" s="315"/>
      <c r="M2" s="315"/>
      <c r="N2" s="315"/>
      <c r="O2" s="316"/>
      <c r="P2" s="300" t="s">
        <v>37</v>
      </c>
    </row>
    <row r="3" spans="1:17" s="40" customFormat="1" ht="73.5" customHeight="1">
      <c r="A3" s="311"/>
      <c r="B3" s="42" t="s">
        <v>100</v>
      </c>
      <c r="C3" s="75" t="s">
        <v>101</v>
      </c>
      <c r="D3" s="72" t="s">
        <v>129</v>
      </c>
      <c r="E3" s="66" t="s">
        <v>42</v>
      </c>
      <c r="F3" s="42" t="s">
        <v>48</v>
      </c>
      <c r="G3" s="322"/>
      <c r="H3" s="66" t="s">
        <v>104</v>
      </c>
      <c r="I3" s="42" t="s">
        <v>105</v>
      </c>
      <c r="J3" s="42" t="s">
        <v>106</v>
      </c>
      <c r="K3" s="42" t="s">
        <v>107</v>
      </c>
      <c r="L3" s="42" t="s">
        <v>108</v>
      </c>
      <c r="M3" s="42" t="s">
        <v>109</v>
      </c>
      <c r="N3" s="42" t="s">
        <v>146</v>
      </c>
      <c r="O3" s="65" t="s">
        <v>110</v>
      </c>
      <c r="P3" s="301"/>
    </row>
    <row r="4" spans="1:17" ht="21" customHeight="1">
      <c r="A4" s="60" t="s">
        <v>47</v>
      </c>
      <c r="B4" s="43">
        <v>2000000</v>
      </c>
      <c r="C4" s="76">
        <v>0</v>
      </c>
      <c r="D4" s="73">
        <v>0</v>
      </c>
      <c r="E4" s="67" t="e">
        <f>#REF!</f>
        <v>#REF!</v>
      </c>
      <c r="F4" s="43" t="e">
        <f>#REF!</f>
        <v>#REF!</v>
      </c>
      <c r="G4" s="70">
        <v>0</v>
      </c>
      <c r="H4" s="67">
        <f>3300000</f>
        <v>3300000</v>
      </c>
      <c r="I4" s="43">
        <v>0</v>
      </c>
      <c r="J4" s="43">
        <v>0</v>
      </c>
      <c r="K4" s="43">
        <v>0</v>
      </c>
      <c r="L4" s="43">
        <v>0</v>
      </c>
      <c r="M4" s="43">
        <v>0</v>
      </c>
      <c r="N4" s="43">
        <v>0</v>
      </c>
      <c r="O4" s="61">
        <v>0</v>
      </c>
      <c r="P4" s="70" t="e">
        <f>B4-E4-F4-G4-H4-I4-J4-K4-L4-M4-N4-O4</f>
        <v>#REF!</v>
      </c>
      <c r="Q4" s="103"/>
    </row>
    <row r="5" spans="1:17" ht="21" customHeight="1">
      <c r="A5" s="60" t="s">
        <v>49</v>
      </c>
      <c r="B5" s="43">
        <v>15000000</v>
      </c>
      <c r="C5" s="76">
        <v>0</v>
      </c>
      <c r="D5" s="73">
        <v>0</v>
      </c>
      <c r="E5" s="67" t="e">
        <f>#REF!</f>
        <v>#REF!</v>
      </c>
      <c r="F5" s="43" t="e">
        <f>#REF!</f>
        <v>#REF!</v>
      </c>
      <c r="G5" s="70">
        <v>0</v>
      </c>
      <c r="H5" s="67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61">
        <v>0</v>
      </c>
      <c r="P5" s="70" t="e">
        <f t="shared" ref="P5:P15" si="0">B5-E5-F5-G5-H5-I5-J5-K5-L5-M5-N5-O5</f>
        <v>#REF!</v>
      </c>
      <c r="Q5" s="103"/>
    </row>
    <row r="6" spans="1:17" ht="21" customHeight="1">
      <c r="A6" s="60" t="s">
        <v>50</v>
      </c>
      <c r="B6" s="43">
        <v>5000000</v>
      </c>
      <c r="C6" s="76">
        <v>0</v>
      </c>
      <c r="D6" s="73">
        <v>0</v>
      </c>
      <c r="E6" s="67" t="e">
        <f>#REF!</f>
        <v>#REF!</v>
      </c>
      <c r="F6" s="43" t="e">
        <f>#REF!</f>
        <v>#REF!</v>
      </c>
      <c r="G6" s="70">
        <v>0</v>
      </c>
      <c r="H6" s="67">
        <v>0</v>
      </c>
      <c r="I6" s="43">
        <v>0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  <c r="O6" s="61">
        <v>0</v>
      </c>
      <c r="P6" s="70" t="e">
        <f t="shared" si="0"/>
        <v>#REF!</v>
      </c>
      <c r="Q6" s="103"/>
    </row>
    <row r="7" spans="1:17" ht="21" customHeight="1">
      <c r="A7" s="60" t="s">
        <v>51</v>
      </c>
      <c r="B7" s="43">
        <v>13640000</v>
      </c>
      <c r="C7" s="76">
        <v>0</v>
      </c>
      <c r="D7" s="73">
        <v>0</v>
      </c>
      <c r="E7" s="67" t="e">
        <f>#REF!</f>
        <v>#REF!</v>
      </c>
      <c r="F7" s="43" t="e">
        <f>#REF!</f>
        <v>#REF!</v>
      </c>
      <c r="G7" s="70">
        <f>69468+28800+129802</f>
        <v>228070</v>
      </c>
      <c r="H7" s="67">
        <f>7096182-27</f>
        <v>7096155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f>216669+27</f>
        <v>216696</v>
      </c>
      <c r="O7" s="61">
        <v>0</v>
      </c>
      <c r="P7" s="70" t="e">
        <f t="shared" si="0"/>
        <v>#REF!</v>
      </c>
      <c r="Q7" s="103"/>
    </row>
    <row r="8" spans="1:17" ht="21" customHeight="1">
      <c r="A8" s="60" t="s">
        <v>52</v>
      </c>
      <c r="B8" s="43">
        <v>32404000</v>
      </c>
      <c r="C8" s="76">
        <v>0</v>
      </c>
      <c r="D8" s="73">
        <v>0</v>
      </c>
      <c r="E8" s="67" t="e">
        <f>#REF!</f>
        <v>#REF!</v>
      </c>
      <c r="F8" s="43" t="e">
        <f>#REF!</f>
        <v>#REF!</v>
      </c>
      <c r="G8" s="70">
        <v>0</v>
      </c>
      <c r="H8" s="67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61">
        <v>0</v>
      </c>
      <c r="P8" s="70" t="e">
        <f t="shared" si="0"/>
        <v>#REF!</v>
      </c>
      <c r="Q8" s="103"/>
    </row>
    <row r="9" spans="1:17" ht="21" customHeight="1">
      <c r="A9" s="60" t="s">
        <v>53</v>
      </c>
      <c r="B9" s="43">
        <v>0</v>
      </c>
      <c r="C9" s="76">
        <f>14711+6552+17926</f>
        <v>39189</v>
      </c>
      <c r="D9" s="73">
        <v>0</v>
      </c>
      <c r="E9" s="67" t="e">
        <f>#REF!</f>
        <v>#REF!</v>
      </c>
      <c r="F9" s="43" t="e">
        <f>#REF!</f>
        <v>#REF!</v>
      </c>
      <c r="G9" s="70">
        <v>186034</v>
      </c>
      <c r="H9" s="67">
        <v>0</v>
      </c>
      <c r="I9" s="43">
        <v>2919200</v>
      </c>
      <c r="J9" s="43">
        <v>0</v>
      </c>
      <c r="K9" s="43">
        <f>35000+815000</f>
        <v>850000</v>
      </c>
      <c r="L9" s="43">
        <v>0</v>
      </c>
      <c r="M9" s="43">
        <v>0</v>
      </c>
      <c r="N9" s="43">
        <v>0</v>
      </c>
      <c r="O9" s="61">
        <v>0</v>
      </c>
      <c r="P9" s="70" t="e">
        <f t="shared" si="0"/>
        <v>#REF!</v>
      </c>
      <c r="Q9" s="103"/>
    </row>
    <row r="10" spans="1:17" ht="21" customHeight="1">
      <c r="A10" s="60" t="s">
        <v>54</v>
      </c>
      <c r="B10" s="43">
        <v>2104000</v>
      </c>
      <c r="C10" s="76">
        <v>0</v>
      </c>
      <c r="D10" s="73">
        <v>0</v>
      </c>
      <c r="E10" s="67" t="e">
        <f>#REF!</f>
        <v>#REF!</v>
      </c>
      <c r="F10" s="43" t="e">
        <f>#REF!</f>
        <v>#REF!</v>
      </c>
      <c r="G10" s="70">
        <v>0</v>
      </c>
      <c r="H10" s="67">
        <v>0</v>
      </c>
      <c r="I10" s="43">
        <v>129500</v>
      </c>
      <c r="J10" s="43">
        <v>0</v>
      </c>
      <c r="K10" s="43"/>
      <c r="L10" s="43">
        <v>0</v>
      </c>
      <c r="M10" s="43">
        <v>0</v>
      </c>
      <c r="N10" s="43">
        <v>0</v>
      </c>
      <c r="O10" s="61">
        <v>0</v>
      </c>
      <c r="P10" s="70" t="e">
        <f t="shared" si="0"/>
        <v>#REF!</v>
      </c>
      <c r="Q10" s="103"/>
    </row>
    <row r="11" spans="1:17" ht="21" customHeight="1">
      <c r="A11" s="60" t="s">
        <v>55</v>
      </c>
      <c r="B11" s="43">
        <v>0</v>
      </c>
      <c r="C11" s="76">
        <v>0</v>
      </c>
      <c r="D11" s="73">
        <v>0</v>
      </c>
      <c r="E11" s="67" t="e">
        <f>#REF!</f>
        <v>#REF!</v>
      </c>
      <c r="F11" s="43" t="e">
        <f>#REF!</f>
        <v>#REF!</v>
      </c>
      <c r="G11" s="70">
        <v>0</v>
      </c>
      <c r="H11" s="67">
        <v>0</v>
      </c>
      <c r="I11" s="43">
        <v>0</v>
      </c>
      <c r="J11" s="43">
        <v>0</v>
      </c>
      <c r="K11" s="43">
        <f>850000</f>
        <v>850000</v>
      </c>
      <c r="L11" s="43">
        <v>0</v>
      </c>
      <c r="M11" s="43">
        <f>1027362+51790</f>
        <v>1079152</v>
      </c>
      <c r="N11" s="43">
        <v>0</v>
      </c>
      <c r="O11" s="61">
        <v>0</v>
      </c>
      <c r="P11" s="70" t="e">
        <f t="shared" si="0"/>
        <v>#REF!</v>
      </c>
      <c r="Q11" s="103"/>
    </row>
    <row r="12" spans="1:17" ht="21" customHeight="1">
      <c r="A12" s="60" t="s">
        <v>56</v>
      </c>
      <c r="B12" s="43">
        <v>0</v>
      </c>
      <c r="C12" s="76">
        <v>0</v>
      </c>
      <c r="D12" s="73">
        <v>0</v>
      </c>
      <c r="E12" s="67" t="e">
        <f>#REF!</f>
        <v>#REF!</v>
      </c>
      <c r="F12" s="43" t="e">
        <f>#REF!</f>
        <v>#REF!</v>
      </c>
      <c r="G12" s="70">
        <v>0</v>
      </c>
      <c r="H12" s="67">
        <v>0</v>
      </c>
      <c r="I12" s="43">
        <v>0</v>
      </c>
      <c r="J12" s="43">
        <v>0</v>
      </c>
      <c r="K12" s="43"/>
      <c r="L12" s="43">
        <v>0</v>
      </c>
      <c r="M12" s="43">
        <v>0</v>
      </c>
      <c r="N12" s="43">
        <v>0</v>
      </c>
      <c r="O12" s="61">
        <v>0</v>
      </c>
      <c r="P12" s="70" t="e">
        <f t="shared" si="0"/>
        <v>#REF!</v>
      </c>
      <c r="Q12" s="103"/>
    </row>
    <row r="13" spans="1:17" ht="21" customHeight="1">
      <c r="A13" s="60" t="s">
        <v>57</v>
      </c>
      <c r="B13" s="43">
        <v>0</v>
      </c>
      <c r="C13" s="76">
        <v>0</v>
      </c>
      <c r="D13" s="73">
        <v>0</v>
      </c>
      <c r="E13" s="67" t="e">
        <f>#REF!</f>
        <v>#REF!</v>
      </c>
      <c r="F13" s="43" t="e">
        <f>#REF!</f>
        <v>#REF!</v>
      </c>
      <c r="G13" s="70">
        <f>18800</f>
        <v>18800</v>
      </c>
      <c r="H13" s="67">
        <v>0</v>
      </c>
      <c r="I13" s="43">
        <v>0</v>
      </c>
      <c r="J13" s="43">
        <v>0</v>
      </c>
      <c r="K13" s="43">
        <f>205500</f>
        <v>205500</v>
      </c>
      <c r="L13" s="43">
        <v>0</v>
      </c>
      <c r="M13" s="43">
        <f>24000</f>
        <v>24000</v>
      </c>
      <c r="N13" s="43">
        <v>0</v>
      </c>
      <c r="O13" s="61">
        <v>0</v>
      </c>
      <c r="P13" s="70" t="e">
        <f t="shared" si="0"/>
        <v>#REF!</v>
      </c>
      <c r="Q13" s="103"/>
    </row>
    <row r="14" spans="1:17" ht="21" customHeight="1">
      <c r="A14" s="60" t="s">
        <v>58</v>
      </c>
      <c r="B14" s="43">
        <v>0</v>
      </c>
      <c r="C14" s="76">
        <v>0</v>
      </c>
      <c r="D14" s="73">
        <v>0</v>
      </c>
      <c r="E14" s="67" t="e">
        <f>#REF!</f>
        <v>#REF!</v>
      </c>
      <c r="F14" s="43" t="e">
        <f>#REF!</f>
        <v>#REF!</v>
      </c>
      <c r="G14" s="70">
        <f>113826+253127</f>
        <v>366953</v>
      </c>
      <c r="H14" s="67">
        <v>0</v>
      </c>
      <c r="I14" s="43">
        <v>0</v>
      </c>
      <c r="J14" s="43">
        <v>0</v>
      </c>
      <c r="K14" s="43">
        <f>1225000+80500+300000+175600-200000</f>
        <v>1581100</v>
      </c>
      <c r="L14" s="43">
        <v>0</v>
      </c>
      <c r="M14" s="43">
        <v>54660</v>
      </c>
      <c r="N14" s="43">
        <v>0</v>
      </c>
      <c r="O14" s="61">
        <v>0</v>
      </c>
      <c r="P14" s="70" t="e">
        <f t="shared" si="0"/>
        <v>#REF!</v>
      </c>
      <c r="Q14" s="103"/>
    </row>
    <row r="15" spans="1:17" ht="21" customHeight="1">
      <c r="A15" s="60" t="s">
        <v>59</v>
      </c>
      <c r="B15" s="43">
        <v>0</v>
      </c>
      <c r="C15" s="76">
        <v>0</v>
      </c>
      <c r="D15" s="73">
        <v>0</v>
      </c>
      <c r="E15" s="68">
        <f>109039+4000</f>
        <v>113039</v>
      </c>
      <c r="F15" s="59">
        <f>2241957-223363+7532056-36</f>
        <v>9550614</v>
      </c>
      <c r="G15" s="199">
        <f>945320+44529+524340</f>
        <v>1514189</v>
      </c>
      <c r="H15" s="67">
        <v>0</v>
      </c>
      <c r="I15" s="43">
        <f>-21500+1477000+630500+825400</f>
        <v>2911400</v>
      </c>
      <c r="J15" s="43">
        <v>0</v>
      </c>
      <c r="K15" s="43">
        <f>190000+728200+295000</f>
        <v>1213200</v>
      </c>
      <c r="L15" s="43">
        <v>0</v>
      </c>
      <c r="M15" s="43">
        <v>0</v>
      </c>
      <c r="N15" s="43">
        <f>14500+320068+58798</f>
        <v>393366</v>
      </c>
      <c r="O15" s="61">
        <f>-(974527+542082+272615+4403)</f>
        <v>-1793627</v>
      </c>
      <c r="P15" s="70">
        <f t="shared" si="0"/>
        <v>-13902181</v>
      </c>
      <c r="Q15" s="103"/>
    </row>
    <row r="16" spans="1:17" ht="21" customHeight="1" thickBot="1">
      <c r="A16" s="62" t="s">
        <v>86</v>
      </c>
      <c r="B16" s="63">
        <f>SUM(B4:B15)</f>
        <v>70148000</v>
      </c>
      <c r="C16" s="77">
        <f t="shared" ref="C16:P16" si="1">SUM(C4:C15)</f>
        <v>39189</v>
      </c>
      <c r="D16" s="74">
        <f t="shared" si="1"/>
        <v>0</v>
      </c>
      <c r="E16" s="69" t="e">
        <f t="shared" si="1"/>
        <v>#REF!</v>
      </c>
      <c r="F16" s="63" t="e">
        <f t="shared" si="1"/>
        <v>#REF!</v>
      </c>
      <c r="G16" s="71">
        <f t="shared" si="1"/>
        <v>2314046</v>
      </c>
      <c r="H16" s="69">
        <f>SUM(H4:H15)</f>
        <v>10396155</v>
      </c>
      <c r="I16" s="63">
        <f t="shared" si="1"/>
        <v>5960100</v>
      </c>
      <c r="J16" s="63">
        <f t="shared" si="1"/>
        <v>0</v>
      </c>
      <c r="K16" s="63">
        <f t="shared" si="1"/>
        <v>4699800</v>
      </c>
      <c r="L16" s="63">
        <f t="shared" si="1"/>
        <v>0</v>
      </c>
      <c r="M16" s="63">
        <f t="shared" si="1"/>
        <v>1157812</v>
      </c>
      <c r="N16" s="63">
        <f t="shared" si="1"/>
        <v>610062</v>
      </c>
      <c r="O16" s="64">
        <f t="shared" si="1"/>
        <v>-1793627</v>
      </c>
      <c r="P16" s="71" t="e">
        <f t="shared" si="1"/>
        <v>#REF!</v>
      </c>
      <c r="Q16" s="103"/>
    </row>
    <row r="17" spans="5:15" ht="33" customHeight="1" thickBot="1">
      <c r="E17" s="307" t="e">
        <f>SUM(E16:G16)</f>
        <v>#REF!</v>
      </c>
      <c r="F17" s="308"/>
      <c r="G17" s="309"/>
      <c r="H17" s="305">
        <f>SUM(H16:O16)</f>
        <v>21030302</v>
      </c>
      <c r="I17" s="306"/>
      <c r="J17" s="306"/>
      <c r="K17" s="306"/>
      <c r="L17" s="306"/>
      <c r="M17" s="306"/>
      <c r="N17" s="306"/>
      <c r="O17" s="306"/>
    </row>
    <row r="18" spans="5:15" ht="26.25" customHeight="1" thickBot="1">
      <c r="H18" s="201" t="s">
        <v>158</v>
      </c>
      <c r="I18" s="202">
        <f>G16+N16</f>
        <v>2924108</v>
      </c>
      <c r="J18" s="203" t="s">
        <v>159</v>
      </c>
      <c r="K18" s="202" t="e">
        <f>E16+F16+H16+I16+J16+K16+L16+M16+O16</f>
        <v>#REF!</v>
      </c>
      <c r="L18" s="302" t="s">
        <v>111</v>
      </c>
      <c r="M18" s="302"/>
      <c r="N18" s="303" t="e">
        <f>I18+K18</f>
        <v>#REF!</v>
      </c>
      <c r="O18" s="304"/>
    </row>
    <row r="20" spans="5:15">
      <c r="H20" s="317" t="s">
        <v>112</v>
      </c>
      <c r="I20" s="318"/>
    </row>
    <row r="21" spans="5:15">
      <c r="H21" s="41" t="s">
        <v>47</v>
      </c>
      <c r="I21" s="43">
        <f>SUM(H4:O4)</f>
        <v>3300000</v>
      </c>
    </row>
    <row r="22" spans="5:15">
      <c r="H22" s="41" t="s">
        <v>49</v>
      </c>
      <c r="I22" s="43">
        <f t="shared" ref="I22:I32" si="2">SUM(H5:O5)</f>
        <v>0</v>
      </c>
    </row>
    <row r="23" spans="5:15">
      <c r="H23" s="41" t="s">
        <v>50</v>
      </c>
      <c r="I23" s="43">
        <f t="shared" si="2"/>
        <v>0</v>
      </c>
    </row>
    <row r="24" spans="5:15">
      <c r="H24" s="41" t="s">
        <v>51</v>
      </c>
      <c r="I24" s="43">
        <f t="shared" si="2"/>
        <v>7312851</v>
      </c>
    </row>
    <row r="25" spans="5:15">
      <c r="H25" s="41" t="s">
        <v>52</v>
      </c>
      <c r="I25" s="43">
        <f t="shared" si="2"/>
        <v>0</v>
      </c>
    </row>
    <row r="26" spans="5:15">
      <c r="H26" s="41" t="s">
        <v>53</v>
      </c>
      <c r="I26" s="43">
        <f t="shared" si="2"/>
        <v>3769200</v>
      </c>
    </row>
    <row r="27" spans="5:15">
      <c r="H27" s="41" t="s">
        <v>54</v>
      </c>
      <c r="I27" s="43">
        <f t="shared" si="2"/>
        <v>129500</v>
      </c>
    </row>
    <row r="28" spans="5:15">
      <c r="H28" s="41" t="s">
        <v>55</v>
      </c>
      <c r="I28" s="43">
        <f t="shared" si="2"/>
        <v>1929152</v>
      </c>
    </row>
    <row r="29" spans="5:15">
      <c r="H29" s="41" t="s">
        <v>56</v>
      </c>
      <c r="I29" s="43">
        <f t="shared" si="2"/>
        <v>0</v>
      </c>
    </row>
    <row r="30" spans="5:15">
      <c r="H30" s="41" t="s">
        <v>57</v>
      </c>
      <c r="I30" s="43">
        <f t="shared" si="2"/>
        <v>229500</v>
      </c>
    </row>
    <row r="31" spans="5:15">
      <c r="H31" s="41" t="s">
        <v>58</v>
      </c>
      <c r="I31" s="43">
        <f t="shared" si="2"/>
        <v>1635760</v>
      </c>
    </row>
    <row r="32" spans="5:15">
      <c r="H32" s="41" t="s">
        <v>59</v>
      </c>
      <c r="I32" s="43">
        <f t="shared" si="2"/>
        <v>2724339</v>
      </c>
    </row>
    <row r="33" spans="8:9">
      <c r="H33" s="41" t="s">
        <v>37</v>
      </c>
      <c r="I33" s="43">
        <f>SUM(I21:I32)</f>
        <v>21030302</v>
      </c>
    </row>
  </sheetData>
  <mergeCells count="11">
    <mergeCell ref="A2:A3"/>
    <mergeCell ref="B2:D2"/>
    <mergeCell ref="H2:O2"/>
    <mergeCell ref="H20:I20"/>
    <mergeCell ref="E2:F2"/>
    <mergeCell ref="G2:G3"/>
    <mergeCell ref="P2:P3"/>
    <mergeCell ref="L18:M18"/>
    <mergeCell ref="N18:O18"/>
    <mergeCell ref="H17:O17"/>
    <mergeCell ref="E17:G17"/>
  </mergeCells>
  <phoneticPr fontId="2" type="noConversion"/>
  <pageMargins left="0.70866141732283472" right="0.43" top="0.74803149606299213" bottom="0.74803149606299213" header="0.31496062992125984" footer="0.31496062992125984"/>
  <pageSetup paperSize="8" orientation="landscape" cellComments="asDisplayed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9"/>
  <sheetViews>
    <sheetView showGridLines="0" workbookViewId="0">
      <selection activeCell="B3" sqref="B3:C3"/>
    </sheetView>
  </sheetViews>
  <sheetFormatPr defaultColWidth="9" defaultRowHeight="16.5"/>
  <cols>
    <col min="1" max="2" width="9" style="193"/>
    <col min="3" max="3" width="16" style="193" customWidth="1"/>
    <col min="4" max="4" width="16.375" style="193" customWidth="1"/>
    <col min="5" max="5" width="15.75" style="193" bestFit="1" customWidth="1"/>
    <col min="6" max="6" width="16.125" style="193" bestFit="1" customWidth="1"/>
    <col min="7" max="7" width="12.125" style="193" customWidth="1"/>
    <col min="8" max="8" width="0.75" style="193" customWidth="1"/>
    <col min="9" max="9" width="17.375" style="193" customWidth="1"/>
    <col min="10" max="10" width="16" style="193" customWidth="1"/>
    <col min="11" max="16384" width="9" style="193"/>
  </cols>
  <sheetData>
    <row r="1" spans="1:10" ht="35.25" customHeight="1">
      <c r="A1" s="192" t="s">
        <v>148</v>
      </c>
      <c r="B1" s="193" t="s">
        <v>149</v>
      </c>
    </row>
    <row r="2" spans="1:10" s="195" customFormat="1" ht="33">
      <c r="A2" s="194"/>
      <c r="B2" s="194"/>
      <c r="C2" s="194" t="s">
        <v>150</v>
      </c>
      <c r="D2" s="194" t="s">
        <v>151</v>
      </c>
      <c r="E2" s="194" t="s">
        <v>152</v>
      </c>
      <c r="F2" s="194" t="s">
        <v>153</v>
      </c>
      <c r="G2" s="194" t="s">
        <v>36</v>
      </c>
      <c r="H2" s="194"/>
      <c r="I2" s="194" t="s">
        <v>157</v>
      </c>
      <c r="J2" s="200" t="s">
        <v>160</v>
      </c>
    </row>
    <row r="3" spans="1:10">
      <c r="A3" s="194">
        <v>1</v>
      </c>
      <c r="B3" s="194" t="s">
        <v>0</v>
      </c>
      <c r="C3" s="196">
        <v>610563</v>
      </c>
      <c r="D3" s="196">
        <v>50637936</v>
      </c>
      <c r="E3" s="196">
        <v>2580494</v>
      </c>
      <c r="F3" s="196">
        <v>2314046</v>
      </c>
      <c r="G3" s="196">
        <v>39189</v>
      </c>
      <c r="H3" s="197"/>
      <c r="I3" s="198">
        <f>D3-E3</f>
        <v>48057442</v>
      </c>
      <c r="J3" s="198">
        <f>C3+F3+I3</f>
        <v>50982051</v>
      </c>
    </row>
    <row r="4" spans="1:10">
      <c r="A4" s="194">
        <v>2</v>
      </c>
      <c r="B4" s="194" t="s">
        <v>38</v>
      </c>
      <c r="C4" s="196">
        <v>325388</v>
      </c>
      <c r="D4" s="196">
        <v>421784</v>
      </c>
      <c r="E4" s="196">
        <v>22417</v>
      </c>
      <c r="F4" s="196">
        <v>29998</v>
      </c>
      <c r="G4" s="196">
        <v>359</v>
      </c>
      <c r="H4" s="197"/>
      <c r="I4" s="198">
        <f t="shared" ref="I4:I25" si="0">D4-E4</f>
        <v>399367</v>
      </c>
      <c r="J4" s="198">
        <f t="shared" ref="J4:J26" si="1">C4+F4+I4</f>
        <v>754753</v>
      </c>
    </row>
    <row r="5" spans="1:10">
      <c r="A5" s="194">
        <v>3</v>
      </c>
      <c r="B5" s="194" t="s">
        <v>1</v>
      </c>
      <c r="C5" s="196">
        <v>416216</v>
      </c>
      <c r="D5" s="196">
        <v>469551</v>
      </c>
      <c r="E5" s="196">
        <v>18791</v>
      </c>
      <c r="F5" s="196">
        <v>260000</v>
      </c>
      <c r="G5" s="196">
        <v>292</v>
      </c>
      <c r="H5" s="197"/>
      <c r="I5" s="198">
        <f t="shared" si="0"/>
        <v>450760</v>
      </c>
      <c r="J5" s="198">
        <f t="shared" si="1"/>
        <v>1126976</v>
      </c>
    </row>
    <row r="6" spans="1:10">
      <c r="A6" s="194">
        <v>4</v>
      </c>
      <c r="B6" s="194" t="s">
        <v>2</v>
      </c>
      <c r="C6" s="196">
        <v>2105452</v>
      </c>
      <c r="D6" s="196">
        <v>427265</v>
      </c>
      <c r="E6" s="196">
        <v>0</v>
      </c>
      <c r="F6" s="196">
        <v>0</v>
      </c>
      <c r="G6" s="196">
        <v>113</v>
      </c>
      <c r="H6" s="197"/>
      <c r="I6" s="198">
        <f t="shared" si="0"/>
        <v>427265</v>
      </c>
      <c r="J6" s="198">
        <f t="shared" si="1"/>
        <v>2532717</v>
      </c>
    </row>
    <row r="7" spans="1:10">
      <c r="A7" s="194">
        <v>5</v>
      </c>
      <c r="B7" s="194" t="s">
        <v>3</v>
      </c>
      <c r="C7" s="196">
        <v>929048</v>
      </c>
      <c r="D7" s="196">
        <v>529576</v>
      </c>
      <c r="E7" s="196">
        <v>86521</v>
      </c>
      <c r="F7" s="196">
        <v>28800</v>
      </c>
      <c r="G7" s="196">
        <v>785</v>
      </c>
      <c r="H7" s="197"/>
      <c r="I7" s="198">
        <f t="shared" si="0"/>
        <v>443055</v>
      </c>
      <c r="J7" s="198">
        <f t="shared" si="1"/>
        <v>1400903</v>
      </c>
    </row>
    <row r="8" spans="1:10">
      <c r="A8" s="194">
        <v>6</v>
      </c>
      <c r="B8" s="194" t="s">
        <v>4</v>
      </c>
      <c r="C8" s="196">
        <v>211288</v>
      </c>
      <c r="D8" s="196">
        <v>447508</v>
      </c>
      <c r="E8" s="196">
        <v>50772</v>
      </c>
      <c r="F8" s="196">
        <v>0</v>
      </c>
      <c r="G8" s="196">
        <v>215</v>
      </c>
      <c r="H8" s="197"/>
      <c r="I8" s="198">
        <f t="shared" si="0"/>
        <v>396736</v>
      </c>
      <c r="J8" s="198">
        <f t="shared" si="1"/>
        <v>608024</v>
      </c>
    </row>
    <row r="9" spans="1:10">
      <c r="A9" s="194">
        <v>7</v>
      </c>
      <c r="B9" s="194" t="s">
        <v>5</v>
      </c>
      <c r="C9" s="196">
        <v>39588</v>
      </c>
      <c r="D9" s="196">
        <v>318233</v>
      </c>
      <c r="E9" s="196">
        <v>0</v>
      </c>
      <c r="F9" s="196">
        <v>0</v>
      </c>
      <c r="G9" s="196">
        <v>346</v>
      </c>
      <c r="H9" s="197"/>
      <c r="I9" s="198">
        <f t="shared" si="0"/>
        <v>318233</v>
      </c>
      <c r="J9" s="198">
        <f t="shared" si="1"/>
        <v>357821</v>
      </c>
    </row>
    <row r="10" spans="1:10">
      <c r="A10" s="194">
        <v>8</v>
      </c>
      <c r="B10" s="194" t="s">
        <v>39</v>
      </c>
      <c r="C10" s="196">
        <v>1699288</v>
      </c>
      <c r="D10" s="196">
        <v>501960</v>
      </c>
      <c r="E10" s="196">
        <v>556</v>
      </c>
      <c r="F10" s="196">
        <v>60068</v>
      </c>
      <c r="G10" s="196">
        <v>1257</v>
      </c>
      <c r="H10" s="197"/>
      <c r="I10" s="198">
        <f t="shared" si="0"/>
        <v>501404</v>
      </c>
      <c r="J10" s="198">
        <f t="shared" si="1"/>
        <v>2260760</v>
      </c>
    </row>
    <row r="11" spans="1:10">
      <c r="A11" s="194">
        <v>9</v>
      </c>
      <c r="B11" s="194" t="s">
        <v>6</v>
      </c>
      <c r="C11" s="196">
        <v>410188</v>
      </c>
      <c r="D11" s="196">
        <v>393402</v>
      </c>
      <c r="E11" s="196">
        <v>0</v>
      </c>
      <c r="F11" s="196">
        <v>0</v>
      </c>
      <c r="G11" s="196">
        <v>207</v>
      </c>
      <c r="H11" s="197"/>
      <c r="I11" s="198">
        <f t="shared" si="0"/>
        <v>393402</v>
      </c>
      <c r="J11" s="198">
        <f t="shared" si="1"/>
        <v>803590</v>
      </c>
    </row>
    <row r="12" spans="1:10">
      <c r="A12" s="194">
        <v>10</v>
      </c>
      <c r="B12" s="194" t="s">
        <v>7</v>
      </c>
      <c r="C12" s="196">
        <v>974088</v>
      </c>
      <c r="D12" s="196">
        <v>565269</v>
      </c>
      <c r="E12" s="196">
        <v>230180</v>
      </c>
      <c r="F12" s="196">
        <v>0</v>
      </c>
      <c r="G12" s="196">
        <v>156</v>
      </c>
      <c r="H12" s="197"/>
      <c r="I12" s="198">
        <f t="shared" si="0"/>
        <v>335089</v>
      </c>
      <c r="J12" s="198">
        <f t="shared" si="1"/>
        <v>1309177</v>
      </c>
    </row>
    <row r="13" spans="1:10">
      <c r="A13" s="194">
        <v>11</v>
      </c>
      <c r="B13" s="194" t="s">
        <v>8</v>
      </c>
      <c r="C13" s="196">
        <v>152688</v>
      </c>
      <c r="D13" s="196">
        <v>391902</v>
      </c>
      <c r="E13" s="196">
        <v>19106</v>
      </c>
      <c r="F13" s="196">
        <v>0</v>
      </c>
      <c r="G13" s="196">
        <v>114</v>
      </c>
      <c r="H13" s="197"/>
      <c r="I13" s="198">
        <f t="shared" si="0"/>
        <v>372796</v>
      </c>
      <c r="J13" s="198">
        <f t="shared" si="1"/>
        <v>525484</v>
      </c>
    </row>
    <row r="14" spans="1:10">
      <c r="A14" s="194">
        <v>12</v>
      </c>
      <c r="B14" s="194" t="s">
        <v>9</v>
      </c>
      <c r="C14" s="196">
        <v>567188</v>
      </c>
      <c r="D14" s="196">
        <v>372760</v>
      </c>
      <c r="E14" s="196">
        <v>0</v>
      </c>
      <c r="F14" s="196">
        <v>0</v>
      </c>
      <c r="G14" s="196">
        <v>297</v>
      </c>
      <c r="H14" s="197"/>
      <c r="I14" s="198">
        <f t="shared" si="0"/>
        <v>372760</v>
      </c>
      <c r="J14" s="198">
        <f t="shared" si="1"/>
        <v>939948</v>
      </c>
    </row>
    <row r="15" spans="1:10">
      <c r="A15" s="194">
        <v>13</v>
      </c>
      <c r="B15" s="194" t="s">
        <v>10</v>
      </c>
      <c r="C15" s="196">
        <v>590888</v>
      </c>
      <c r="D15" s="196">
        <v>513427</v>
      </c>
      <c r="E15" s="196">
        <v>22419</v>
      </c>
      <c r="F15" s="196">
        <f>72196+62400+82100</f>
        <v>216696</v>
      </c>
      <c r="G15" s="196">
        <v>434</v>
      </c>
      <c r="H15" s="197"/>
      <c r="I15" s="198">
        <f t="shared" si="0"/>
        <v>491008</v>
      </c>
      <c r="J15" s="198">
        <f t="shared" si="1"/>
        <v>1298592</v>
      </c>
    </row>
    <row r="16" spans="1:10">
      <c r="A16" s="194">
        <v>14</v>
      </c>
      <c r="B16" s="194" t="s">
        <v>11</v>
      </c>
      <c r="C16" s="196">
        <v>987294</v>
      </c>
      <c r="D16" s="196">
        <v>413589</v>
      </c>
      <c r="E16" s="196">
        <v>0</v>
      </c>
      <c r="F16" s="196">
        <v>0</v>
      </c>
      <c r="G16" s="196">
        <v>929</v>
      </c>
      <c r="H16" s="197"/>
      <c r="I16" s="198">
        <f t="shared" si="0"/>
        <v>413589</v>
      </c>
      <c r="J16" s="198">
        <f t="shared" si="1"/>
        <v>1400883</v>
      </c>
    </row>
    <row r="17" spans="1:10">
      <c r="A17" s="194">
        <v>15</v>
      </c>
      <c r="B17" s="194" t="s">
        <v>12</v>
      </c>
      <c r="C17" s="196">
        <v>464268</v>
      </c>
      <c r="D17" s="196">
        <v>1398318</v>
      </c>
      <c r="E17" s="196">
        <v>3122</v>
      </c>
      <c r="F17" s="196">
        <v>14500</v>
      </c>
      <c r="G17" s="196">
        <v>298</v>
      </c>
      <c r="H17" s="197"/>
      <c r="I17" s="198">
        <f t="shared" si="0"/>
        <v>1395196</v>
      </c>
      <c r="J17" s="198">
        <f t="shared" si="1"/>
        <v>1873964</v>
      </c>
    </row>
    <row r="18" spans="1:10">
      <c r="A18" s="194">
        <v>16</v>
      </c>
      <c r="B18" s="194" t="s">
        <v>13</v>
      </c>
      <c r="C18" s="196">
        <v>45388</v>
      </c>
      <c r="D18" s="196">
        <v>328114</v>
      </c>
      <c r="E18" s="196">
        <v>7320</v>
      </c>
      <c r="F18" s="196">
        <v>0</v>
      </c>
      <c r="G18" s="196">
        <v>540</v>
      </c>
      <c r="H18" s="197"/>
      <c r="I18" s="198">
        <f t="shared" si="0"/>
        <v>320794</v>
      </c>
      <c r="J18" s="198">
        <f t="shared" si="1"/>
        <v>366182</v>
      </c>
    </row>
    <row r="19" spans="1:10">
      <c r="A19" s="194">
        <v>17</v>
      </c>
      <c r="B19" s="194" t="s">
        <v>14</v>
      </c>
      <c r="C19" s="196">
        <v>70888</v>
      </c>
      <c r="D19" s="196">
        <v>387566</v>
      </c>
      <c r="E19" s="196">
        <v>0</v>
      </c>
      <c r="F19" s="196">
        <v>0</v>
      </c>
      <c r="G19" s="196">
        <v>89</v>
      </c>
      <c r="H19" s="197"/>
      <c r="I19" s="198">
        <f t="shared" si="0"/>
        <v>387566</v>
      </c>
      <c r="J19" s="198">
        <f t="shared" si="1"/>
        <v>458454</v>
      </c>
    </row>
    <row r="20" spans="1:10">
      <c r="A20" s="194">
        <v>18</v>
      </c>
      <c r="B20" s="194" t="s">
        <v>15</v>
      </c>
      <c r="C20" s="196">
        <v>360388</v>
      </c>
      <c r="D20" s="196">
        <v>286954</v>
      </c>
      <c r="E20" s="196">
        <v>3720</v>
      </c>
      <c r="F20" s="196">
        <v>0</v>
      </c>
      <c r="G20" s="196">
        <v>73</v>
      </c>
      <c r="H20" s="197"/>
      <c r="I20" s="198">
        <f t="shared" si="0"/>
        <v>283234</v>
      </c>
      <c r="J20" s="198">
        <f t="shared" si="1"/>
        <v>643622</v>
      </c>
    </row>
    <row r="21" spans="1:10">
      <c r="A21" s="194">
        <v>19</v>
      </c>
      <c r="B21" s="194" t="s">
        <v>16</v>
      </c>
      <c r="C21" s="196">
        <v>504988</v>
      </c>
      <c r="D21" s="196">
        <v>312199</v>
      </c>
      <c r="E21" s="196">
        <v>18608</v>
      </c>
      <c r="F21" s="196">
        <v>0</v>
      </c>
      <c r="G21" s="196">
        <v>632</v>
      </c>
      <c r="H21" s="197"/>
      <c r="I21" s="198">
        <f t="shared" si="0"/>
        <v>293591</v>
      </c>
      <c r="J21" s="198">
        <f t="shared" si="1"/>
        <v>798579</v>
      </c>
    </row>
    <row r="22" spans="1:10">
      <c r="A22" s="194">
        <v>20</v>
      </c>
      <c r="B22" s="194" t="s">
        <v>17</v>
      </c>
      <c r="C22" s="196">
        <v>48788</v>
      </c>
      <c r="D22" s="196">
        <v>278823</v>
      </c>
      <c r="E22" s="196">
        <v>0</v>
      </c>
      <c r="F22" s="196">
        <v>0</v>
      </c>
      <c r="G22" s="196">
        <v>165</v>
      </c>
      <c r="H22" s="197"/>
      <c r="I22" s="198">
        <f t="shared" si="0"/>
        <v>278823</v>
      </c>
      <c r="J22" s="198">
        <f t="shared" si="1"/>
        <v>327611</v>
      </c>
    </row>
    <row r="23" spans="1:10">
      <c r="A23" s="194">
        <v>21</v>
      </c>
      <c r="B23" s="194" t="s">
        <v>18</v>
      </c>
      <c r="C23" s="196">
        <v>7776</v>
      </c>
      <c r="D23" s="196">
        <v>239492</v>
      </c>
      <c r="E23" s="196">
        <v>0</v>
      </c>
      <c r="F23" s="196">
        <v>0</v>
      </c>
      <c r="G23" s="196">
        <v>83</v>
      </c>
      <c r="H23" s="197"/>
      <c r="I23" s="198">
        <f t="shared" si="0"/>
        <v>239492</v>
      </c>
      <c r="J23" s="198">
        <f t="shared" si="1"/>
        <v>247268</v>
      </c>
    </row>
    <row r="24" spans="1:10">
      <c r="A24" s="194">
        <v>22</v>
      </c>
      <c r="B24" s="194" t="s">
        <v>19</v>
      </c>
      <c r="C24" s="196">
        <v>5988</v>
      </c>
      <c r="D24" s="196">
        <v>235423</v>
      </c>
      <c r="E24" s="196">
        <v>0</v>
      </c>
      <c r="F24" s="196">
        <v>0</v>
      </c>
      <c r="G24" s="196">
        <v>61</v>
      </c>
      <c r="H24" s="197"/>
      <c r="I24" s="198">
        <f t="shared" si="0"/>
        <v>235423</v>
      </c>
      <c r="J24" s="198">
        <f t="shared" si="1"/>
        <v>241411</v>
      </c>
    </row>
    <row r="25" spans="1:10">
      <c r="A25" s="194">
        <v>23</v>
      </c>
      <c r="B25" s="194" t="s">
        <v>20</v>
      </c>
      <c r="C25" s="196">
        <v>421288</v>
      </c>
      <c r="D25" s="196">
        <v>346172</v>
      </c>
      <c r="E25" s="196">
        <v>23712</v>
      </c>
      <c r="F25" s="196">
        <v>0</v>
      </c>
      <c r="G25" s="196">
        <v>1034</v>
      </c>
      <c r="H25" s="197"/>
      <c r="I25" s="198">
        <f t="shared" si="0"/>
        <v>322460</v>
      </c>
      <c r="J25" s="198">
        <f t="shared" si="1"/>
        <v>743748</v>
      </c>
    </row>
    <row r="26" spans="1:10">
      <c r="A26" s="197"/>
      <c r="B26" s="197"/>
      <c r="C26" s="196">
        <f>SUM(C3:C25)</f>
        <v>11948925</v>
      </c>
      <c r="D26" s="196">
        <f t="shared" ref="D26:G26" si="2">SUM(D3:D25)</f>
        <v>60217223</v>
      </c>
      <c r="E26" s="196">
        <f t="shared" si="2"/>
        <v>3087738</v>
      </c>
      <c r="F26" s="196">
        <f>SUM(F3:F25)</f>
        <v>2924108</v>
      </c>
      <c r="G26" s="196">
        <f t="shared" si="2"/>
        <v>47668</v>
      </c>
      <c r="H26" s="197"/>
      <c r="I26" s="198">
        <f>SUM(I3:I25)</f>
        <v>57129485</v>
      </c>
      <c r="J26" s="198">
        <f t="shared" si="1"/>
        <v>72002518</v>
      </c>
    </row>
    <row r="27" spans="1:10">
      <c r="A27" s="197"/>
      <c r="B27" s="197"/>
      <c r="C27" s="323">
        <f>SUM(C26:D26)</f>
        <v>72166148</v>
      </c>
      <c r="D27" s="323"/>
      <c r="E27" s="197"/>
      <c r="F27" s="197"/>
      <c r="G27" s="197"/>
      <c r="H27" s="197"/>
      <c r="I27" s="197"/>
      <c r="J27" s="197"/>
    </row>
    <row r="28" spans="1:10">
      <c r="E28" s="204">
        <f>C27-E26</f>
        <v>69078410</v>
      </c>
      <c r="F28" s="204">
        <f>SUM(E28,F26)</f>
        <v>72002518</v>
      </c>
    </row>
    <row r="29" spans="1:10" ht="33">
      <c r="E29" s="205" t="s">
        <v>154</v>
      </c>
      <c r="F29" s="205" t="s">
        <v>155</v>
      </c>
    </row>
  </sheetData>
  <mergeCells count="1">
    <mergeCell ref="C27:D27"/>
  </mergeCells>
  <phoneticPr fontId="2" type="noConversion"/>
  <pageMargins left="0.2" right="0.2" top="0.75" bottom="0.4" header="0.3" footer="0.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4">
    <tabColor rgb="FFFF0000"/>
  </sheetPr>
  <dimension ref="A1:G32"/>
  <sheetViews>
    <sheetView showGridLines="0" topLeftCell="A4" workbookViewId="0">
      <selection activeCell="B3" sqref="B3:C3"/>
    </sheetView>
  </sheetViews>
  <sheetFormatPr defaultColWidth="9" defaultRowHeight="16.5"/>
  <cols>
    <col min="1" max="1" width="6.75" style="46" customWidth="1"/>
    <col min="2" max="2" width="10.875" style="48" customWidth="1"/>
    <col min="3" max="5" width="13.625" style="46" customWidth="1"/>
    <col min="6" max="6" width="15.625" style="46" customWidth="1"/>
    <col min="7" max="7" width="18.75" style="46" customWidth="1"/>
    <col min="8" max="16384" width="9" style="46"/>
  </cols>
  <sheetData>
    <row r="1" spans="1:7" s="49" customFormat="1" ht="57" customHeight="1" thickBot="1">
      <c r="A1" s="324" t="s">
        <v>131</v>
      </c>
      <c r="B1" s="324"/>
      <c r="C1" s="324"/>
      <c r="D1" s="324"/>
      <c r="E1" s="324"/>
      <c r="F1" s="324"/>
      <c r="G1" s="324"/>
    </row>
    <row r="2" spans="1:7" ht="39" customHeight="1">
      <c r="A2" s="337" t="s">
        <v>121</v>
      </c>
      <c r="B2" s="338"/>
      <c r="C2" s="51" t="s">
        <v>42</v>
      </c>
      <c r="D2" s="51" t="s">
        <v>113</v>
      </c>
      <c r="E2" s="51" t="s">
        <v>142</v>
      </c>
      <c r="F2" s="52" t="s">
        <v>114</v>
      </c>
      <c r="G2" s="53" t="s">
        <v>117</v>
      </c>
    </row>
    <row r="3" spans="1:7" ht="21.75" customHeight="1">
      <c r="A3" s="54">
        <v>1</v>
      </c>
      <c r="B3" s="47" t="s">
        <v>115</v>
      </c>
      <c r="C3" s="57" t="e">
        <f>#REF!</f>
        <v>#REF!</v>
      </c>
      <c r="D3" s="57" t="e">
        <f>#REF!</f>
        <v>#REF!</v>
      </c>
      <c r="E3" s="57" t="e">
        <f>#REF!</f>
        <v>#REF!</v>
      </c>
      <c r="F3" s="57" t="e">
        <f>SUM(C3:E3)</f>
        <v>#REF!</v>
      </c>
      <c r="G3" s="55"/>
    </row>
    <row r="4" spans="1:7" ht="21.75" customHeight="1">
      <c r="A4" s="54">
        <v>2</v>
      </c>
      <c r="B4" s="47" t="s">
        <v>38</v>
      </c>
      <c r="C4" s="57" t="e">
        <f>#REF!</f>
        <v>#REF!</v>
      </c>
      <c r="D4" s="57" t="e">
        <f>#REF!</f>
        <v>#REF!</v>
      </c>
      <c r="E4" s="57" t="e">
        <f>#REF!</f>
        <v>#REF!</v>
      </c>
      <c r="F4" s="57" t="e">
        <f t="shared" ref="F4:F25" si="0">SUM(C4:E4)</f>
        <v>#REF!</v>
      </c>
      <c r="G4" s="55"/>
    </row>
    <row r="5" spans="1:7" ht="21.75" customHeight="1">
      <c r="A5" s="54">
        <v>3</v>
      </c>
      <c r="B5" s="47" t="s">
        <v>85</v>
      </c>
      <c r="C5" s="57" t="e">
        <f>#REF!</f>
        <v>#REF!</v>
      </c>
      <c r="D5" s="57" t="e">
        <f>#REF!</f>
        <v>#REF!</v>
      </c>
      <c r="E5" s="57" t="e">
        <f>#REF!</f>
        <v>#REF!</v>
      </c>
      <c r="F5" s="57" t="e">
        <f t="shared" si="0"/>
        <v>#REF!</v>
      </c>
      <c r="G5" s="55"/>
    </row>
    <row r="6" spans="1:7" ht="21.75" customHeight="1">
      <c r="A6" s="54">
        <v>4</v>
      </c>
      <c r="B6" s="47" t="s">
        <v>2</v>
      </c>
      <c r="C6" s="57" t="e">
        <f>#REF!</f>
        <v>#REF!</v>
      </c>
      <c r="D6" s="57" t="e">
        <f>#REF!</f>
        <v>#REF!</v>
      </c>
      <c r="E6" s="57" t="e">
        <f>#REF!</f>
        <v>#REF!</v>
      </c>
      <c r="F6" s="57" t="e">
        <f t="shared" si="0"/>
        <v>#REF!</v>
      </c>
      <c r="G6" s="55"/>
    </row>
    <row r="7" spans="1:7" ht="21.75" customHeight="1">
      <c r="A7" s="54">
        <v>5</v>
      </c>
      <c r="B7" s="47" t="s">
        <v>3</v>
      </c>
      <c r="C7" s="57" t="e">
        <f>#REF!</f>
        <v>#REF!</v>
      </c>
      <c r="D7" s="57" t="e">
        <f>#REF!</f>
        <v>#REF!</v>
      </c>
      <c r="E7" s="57" t="e">
        <f>#REF!</f>
        <v>#REF!</v>
      </c>
      <c r="F7" s="57" t="e">
        <f t="shared" si="0"/>
        <v>#REF!</v>
      </c>
      <c r="G7" s="55"/>
    </row>
    <row r="8" spans="1:7" ht="21.75" customHeight="1">
      <c r="A8" s="54">
        <v>6</v>
      </c>
      <c r="B8" s="47" t="s">
        <v>4</v>
      </c>
      <c r="C8" s="57" t="e">
        <f>#REF!</f>
        <v>#REF!</v>
      </c>
      <c r="D8" s="57" t="e">
        <f>#REF!</f>
        <v>#REF!</v>
      </c>
      <c r="E8" s="57" t="e">
        <f>#REF!</f>
        <v>#REF!</v>
      </c>
      <c r="F8" s="57" t="e">
        <f t="shared" si="0"/>
        <v>#REF!</v>
      </c>
      <c r="G8" s="55"/>
    </row>
    <row r="9" spans="1:7" ht="21.75" customHeight="1">
      <c r="A9" s="54">
        <v>7</v>
      </c>
      <c r="B9" s="47" t="s">
        <v>5</v>
      </c>
      <c r="C9" s="57" t="e">
        <f>#REF!</f>
        <v>#REF!</v>
      </c>
      <c r="D9" s="57" t="e">
        <f>#REF!</f>
        <v>#REF!</v>
      </c>
      <c r="E9" s="57" t="e">
        <f>#REF!</f>
        <v>#REF!</v>
      </c>
      <c r="F9" s="57" t="e">
        <f t="shared" si="0"/>
        <v>#REF!</v>
      </c>
      <c r="G9" s="55"/>
    </row>
    <row r="10" spans="1:7" ht="21.75" customHeight="1">
      <c r="A10" s="54">
        <v>8</v>
      </c>
      <c r="B10" s="47" t="s">
        <v>39</v>
      </c>
      <c r="C10" s="57" t="e">
        <f>#REF!</f>
        <v>#REF!</v>
      </c>
      <c r="D10" s="57" t="e">
        <f>#REF!</f>
        <v>#REF!</v>
      </c>
      <c r="E10" s="57" t="e">
        <f>#REF!</f>
        <v>#REF!</v>
      </c>
      <c r="F10" s="57" t="e">
        <f t="shared" si="0"/>
        <v>#REF!</v>
      </c>
      <c r="G10" s="55"/>
    </row>
    <row r="11" spans="1:7" ht="21.75" customHeight="1">
      <c r="A11" s="54">
        <v>9</v>
      </c>
      <c r="B11" s="47" t="s">
        <v>6</v>
      </c>
      <c r="C11" s="57" t="e">
        <f>#REF!</f>
        <v>#REF!</v>
      </c>
      <c r="D11" s="57" t="e">
        <f>#REF!</f>
        <v>#REF!</v>
      </c>
      <c r="E11" s="57" t="e">
        <f>#REF!</f>
        <v>#REF!</v>
      </c>
      <c r="F11" s="57" t="e">
        <f t="shared" si="0"/>
        <v>#REF!</v>
      </c>
      <c r="G11" s="55"/>
    </row>
    <row r="12" spans="1:7" ht="21.75" customHeight="1">
      <c r="A12" s="54">
        <v>10</v>
      </c>
      <c r="B12" s="47" t="s">
        <v>7</v>
      </c>
      <c r="C12" s="57" t="e">
        <f>#REF!</f>
        <v>#REF!</v>
      </c>
      <c r="D12" s="57" t="e">
        <f>#REF!</f>
        <v>#REF!</v>
      </c>
      <c r="E12" s="57" t="e">
        <f>#REF!</f>
        <v>#REF!</v>
      </c>
      <c r="F12" s="57" t="e">
        <f t="shared" si="0"/>
        <v>#REF!</v>
      </c>
      <c r="G12" s="55"/>
    </row>
    <row r="13" spans="1:7" ht="21.75" customHeight="1">
      <c r="A13" s="54">
        <v>11</v>
      </c>
      <c r="B13" s="47" t="s">
        <v>8</v>
      </c>
      <c r="C13" s="57" t="e">
        <f>#REF!</f>
        <v>#REF!</v>
      </c>
      <c r="D13" s="57" t="e">
        <f>#REF!</f>
        <v>#REF!</v>
      </c>
      <c r="E13" s="57" t="e">
        <f>#REF!</f>
        <v>#REF!</v>
      </c>
      <c r="F13" s="57" t="e">
        <f t="shared" si="0"/>
        <v>#REF!</v>
      </c>
      <c r="G13" s="55"/>
    </row>
    <row r="14" spans="1:7" ht="21.75" customHeight="1">
      <c r="A14" s="54">
        <v>12</v>
      </c>
      <c r="B14" s="47" t="s">
        <v>9</v>
      </c>
      <c r="C14" s="57" t="e">
        <f>#REF!</f>
        <v>#REF!</v>
      </c>
      <c r="D14" s="57" t="e">
        <f>#REF!</f>
        <v>#REF!</v>
      </c>
      <c r="E14" s="57" t="e">
        <f>#REF!</f>
        <v>#REF!</v>
      </c>
      <c r="F14" s="57" t="e">
        <f t="shared" si="0"/>
        <v>#REF!</v>
      </c>
      <c r="G14" s="55"/>
    </row>
    <row r="15" spans="1:7" ht="21.75" customHeight="1">
      <c r="A15" s="54">
        <v>13</v>
      </c>
      <c r="B15" s="47" t="s">
        <v>10</v>
      </c>
      <c r="C15" s="57" t="e">
        <f>#REF!</f>
        <v>#REF!</v>
      </c>
      <c r="D15" s="57" t="e">
        <f>#REF!</f>
        <v>#REF!</v>
      </c>
      <c r="E15" s="57" t="e">
        <f>#REF!</f>
        <v>#REF!</v>
      </c>
      <c r="F15" s="57" t="e">
        <f t="shared" si="0"/>
        <v>#REF!</v>
      </c>
      <c r="G15" s="55"/>
    </row>
    <row r="16" spans="1:7" ht="21.75" customHeight="1">
      <c r="A16" s="54">
        <v>14</v>
      </c>
      <c r="B16" s="47" t="s">
        <v>11</v>
      </c>
      <c r="C16" s="57" t="e">
        <f>#REF!</f>
        <v>#REF!</v>
      </c>
      <c r="D16" s="57" t="e">
        <f>#REF!</f>
        <v>#REF!</v>
      </c>
      <c r="E16" s="57" t="e">
        <f>#REF!</f>
        <v>#REF!</v>
      </c>
      <c r="F16" s="57" t="e">
        <f t="shared" si="0"/>
        <v>#REF!</v>
      </c>
      <c r="G16" s="55"/>
    </row>
    <row r="17" spans="1:7" ht="21.75" customHeight="1">
      <c r="A17" s="54">
        <v>15</v>
      </c>
      <c r="B17" s="47" t="s">
        <v>12</v>
      </c>
      <c r="C17" s="57" t="e">
        <f>#REF!</f>
        <v>#REF!</v>
      </c>
      <c r="D17" s="57" t="e">
        <f>#REF!</f>
        <v>#REF!</v>
      </c>
      <c r="E17" s="57" t="e">
        <f>#REF!</f>
        <v>#REF!</v>
      </c>
      <c r="F17" s="57" t="e">
        <f t="shared" si="0"/>
        <v>#REF!</v>
      </c>
      <c r="G17" s="55"/>
    </row>
    <row r="18" spans="1:7" ht="21.75" customHeight="1">
      <c r="A18" s="54">
        <v>16</v>
      </c>
      <c r="B18" s="47" t="s">
        <v>13</v>
      </c>
      <c r="C18" s="57" t="e">
        <f>#REF!</f>
        <v>#REF!</v>
      </c>
      <c r="D18" s="57" t="e">
        <f>#REF!</f>
        <v>#REF!</v>
      </c>
      <c r="E18" s="57" t="e">
        <f>#REF!</f>
        <v>#REF!</v>
      </c>
      <c r="F18" s="57" t="e">
        <f t="shared" si="0"/>
        <v>#REF!</v>
      </c>
      <c r="G18" s="55"/>
    </row>
    <row r="19" spans="1:7" ht="21.75" customHeight="1">
      <c r="A19" s="54">
        <v>17</v>
      </c>
      <c r="B19" s="47" t="s">
        <v>14</v>
      </c>
      <c r="C19" s="57" t="e">
        <f>#REF!</f>
        <v>#REF!</v>
      </c>
      <c r="D19" s="57" t="e">
        <f>#REF!</f>
        <v>#REF!</v>
      </c>
      <c r="E19" s="57" t="e">
        <f>#REF!</f>
        <v>#REF!</v>
      </c>
      <c r="F19" s="57" t="e">
        <f t="shared" si="0"/>
        <v>#REF!</v>
      </c>
      <c r="G19" s="55"/>
    </row>
    <row r="20" spans="1:7" ht="21.75" customHeight="1">
      <c r="A20" s="54">
        <v>18</v>
      </c>
      <c r="B20" s="47" t="s">
        <v>15</v>
      </c>
      <c r="C20" s="57" t="e">
        <f>#REF!</f>
        <v>#REF!</v>
      </c>
      <c r="D20" s="57" t="e">
        <f>#REF!</f>
        <v>#REF!</v>
      </c>
      <c r="E20" s="57" t="e">
        <f>#REF!</f>
        <v>#REF!</v>
      </c>
      <c r="F20" s="57" t="e">
        <f t="shared" si="0"/>
        <v>#REF!</v>
      </c>
      <c r="G20" s="55"/>
    </row>
    <row r="21" spans="1:7" ht="21.75" customHeight="1">
      <c r="A21" s="54">
        <v>19</v>
      </c>
      <c r="B21" s="47" t="s">
        <v>16</v>
      </c>
      <c r="C21" s="57" t="e">
        <f>#REF!</f>
        <v>#REF!</v>
      </c>
      <c r="D21" s="57" t="e">
        <f>#REF!</f>
        <v>#REF!</v>
      </c>
      <c r="E21" s="57" t="e">
        <f>#REF!</f>
        <v>#REF!</v>
      </c>
      <c r="F21" s="57" t="e">
        <f t="shared" si="0"/>
        <v>#REF!</v>
      </c>
      <c r="G21" s="55"/>
    </row>
    <row r="22" spans="1:7" ht="21.75" customHeight="1">
      <c r="A22" s="54">
        <v>20</v>
      </c>
      <c r="B22" s="47" t="s">
        <v>17</v>
      </c>
      <c r="C22" s="57" t="e">
        <f>#REF!</f>
        <v>#REF!</v>
      </c>
      <c r="D22" s="57" t="e">
        <f>#REF!</f>
        <v>#REF!</v>
      </c>
      <c r="E22" s="57" t="e">
        <f>#REF!</f>
        <v>#REF!</v>
      </c>
      <c r="F22" s="57" t="e">
        <f t="shared" si="0"/>
        <v>#REF!</v>
      </c>
      <c r="G22" s="55"/>
    </row>
    <row r="23" spans="1:7" ht="21.75" customHeight="1">
      <c r="A23" s="54">
        <v>21</v>
      </c>
      <c r="B23" s="47" t="s">
        <v>18</v>
      </c>
      <c r="C23" s="57" t="e">
        <f>#REF!</f>
        <v>#REF!</v>
      </c>
      <c r="D23" s="57" t="e">
        <f>#REF!</f>
        <v>#REF!</v>
      </c>
      <c r="E23" s="57" t="e">
        <f>#REF!</f>
        <v>#REF!</v>
      </c>
      <c r="F23" s="57" t="e">
        <f t="shared" si="0"/>
        <v>#REF!</v>
      </c>
      <c r="G23" s="55"/>
    </row>
    <row r="24" spans="1:7" ht="21.75" customHeight="1">
      <c r="A24" s="54">
        <v>22</v>
      </c>
      <c r="B24" s="47" t="s">
        <v>19</v>
      </c>
      <c r="C24" s="57" t="e">
        <f>#REF!</f>
        <v>#REF!</v>
      </c>
      <c r="D24" s="57" t="e">
        <f>#REF!</f>
        <v>#REF!</v>
      </c>
      <c r="E24" s="57" t="e">
        <f>#REF!</f>
        <v>#REF!</v>
      </c>
      <c r="F24" s="57" t="e">
        <f t="shared" si="0"/>
        <v>#REF!</v>
      </c>
      <c r="G24" s="55"/>
    </row>
    <row r="25" spans="1:7" ht="21.75" customHeight="1">
      <c r="A25" s="54">
        <v>23</v>
      </c>
      <c r="B25" s="47" t="s">
        <v>20</v>
      </c>
      <c r="C25" s="57" t="e">
        <f>#REF!</f>
        <v>#REF!</v>
      </c>
      <c r="D25" s="57" t="e">
        <f>#REF!</f>
        <v>#REF!</v>
      </c>
      <c r="E25" s="57" t="e">
        <f>#REF!</f>
        <v>#REF!</v>
      </c>
      <c r="F25" s="57" t="e">
        <f t="shared" si="0"/>
        <v>#REF!</v>
      </c>
      <c r="G25" s="55"/>
    </row>
    <row r="26" spans="1:7" s="49" customFormat="1" ht="34.5" customHeight="1" thickBot="1">
      <c r="A26" s="339" t="s">
        <v>116</v>
      </c>
      <c r="B26" s="340"/>
      <c r="C26" s="58" t="e">
        <f>SUM(C3:C25)</f>
        <v>#REF!</v>
      </c>
      <c r="D26" s="58" t="e">
        <f>SUM(D3:D25)</f>
        <v>#REF!</v>
      </c>
      <c r="E26" s="58" t="e">
        <f>SUM(E3:E25)</f>
        <v>#REF!</v>
      </c>
      <c r="F26" s="58" t="e">
        <f>SUM(F3:F25)</f>
        <v>#REF!</v>
      </c>
      <c r="G26" s="56"/>
    </row>
    <row r="27" spans="1:7" ht="27.75" customHeight="1" thickBot="1">
      <c r="G27" s="50" t="s">
        <v>156</v>
      </c>
    </row>
    <row r="28" spans="1:7" ht="21" customHeight="1">
      <c r="A28" s="327" t="s">
        <v>118</v>
      </c>
      <c r="B28" s="328"/>
      <c r="C28" s="325">
        <f>驗算式２_109年度GV3運用情形!B16</f>
        <v>70148000</v>
      </c>
      <c r="D28" s="326"/>
    </row>
    <row r="29" spans="1:7" ht="21" customHeight="1">
      <c r="A29" s="329"/>
      <c r="B29" s="330"/>
      <c r="C29" s="184" t="s">
        <v>145</v>
      </c>
      <c r="D29" s="185" t="s">
        <v>146</v>
      </c>
    </row>
    <row r="30" spans="1:7" ht="21" customHeight="1">
      <c r="A30" s="331"/>
      <c r="B30" s="332"/>
      <c r="C30" s="190">
        <f>C28-D30</f>
        <v>67208000</v>
      </c>
      <c r="D30" s="191">
        <v>2940000</v>
      </c>
    </row>
    <row r="31" spans="1:7" ht="21" customHeight="1">
      <c r="A31" s="333" t="s">
        <v>119</v>
      </c>
      <c r="B31" s="334"/>
      <c r="C31" s="186" t="e">
        <f>C26+D26</f>
        <v>#REF!</v>
      </c>
      <c r="D31" s="187" t="e">
        <f>E26</f>
        <v>#REF!</v>
      </c>
    </row>
    <row r="32" spans="1:7" ht="21" customHeight="1" thickBot="1">
      <c r="A32" s="335" t="s">
        <v>120</v>
      </c>
      <c r="B32" s="336"/>
      <c r="C32" s="188" t="e">
        <f>C30-C31</f>
        <v>#REF!</v>
      </c>
      <c r="D32" s="189" t="e">
        <f>D30-D31</f>
        <v>#REF!</v>
      </c>
      <c r="E32" s="46" t="s">
        <v>147</v>
      </c>
    </row>
  </sheetData>
  <mergeCells count="7">
    <mergeCell ref="A1:G1"/>
    <mergeCell ref="C28:D28"/>
    <mergeCell ref="A28:B30"/>
    <mergeCell ref="A31:B31"/>
    <mergeCell ref="A32:B32"/>
    <mergeCell ref="A2:B2"/>
    <mergeCell ref="A26:B26"/>
  </mergeCells>
  <phoneticPr fontId="2" type="noConversion"/>
  <printOptions horizontalCentered="1"/>
  <pageMargins left="0.59" right="0.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A2" sqref="A2"/>
    </sheetView>
  </sheetViews>
  <sheetFormatPr defaultColWidth="9" defaultRowHeight="16.5"/>
  <cols>
    <col min="1" max="1" width="12.125" style="193" customWidth="1"/>
    <col min="2" max="2" width="17.625" style="195" customWidth="1"/>
    <col min="3" max="3" width="21.5" style="193" customWidth="1"/>
    <col min="4" max="4" width="18.25" style="193" customWidth="1"/>
    <col min="5" max="5" width="19.875" style="193" customWidth="1"/>
    <col min="6" max="16384" width="9" style="193"/>
  </cols>
  <sheetData>
    <row r="1" spans="1:5" s="212" customFormat="1" ht="56.25" customHeight="1">
      <c r="A1" s="343" t="s">
        <v>178</v>
      </c>
      <c r="B1" s="343"/>
      <c r="C1" s="343"/>
      <c r="D1" s="343"/>
      <c r="E1" s="343"/>
    </row>
    <row r="2" spans="1:5" s="212" customFormat="1" ht="20.25" customHeight="1" thickBot="1">
      <c r="A2" s="226" t="s">
        <v>173</v>
      </c>
      <c r="B2" s="213"/>
      <c r="C2" s="227" t="s">
        <v>174</v>
      </c>
      <c r="D2" s="213"/>
      <c r="E2" s="211" t="s">
        <v>167</v>
      </c>
    </row>
    <row r="3" spans="1:5" ht="32.25" customHeight="1">
      <c r="A3" s="345" t="s">
        <v>163</v>
      </c>
      <c r="B3" s="346"/>
      <c r="C3" s="347"/>
      <c r="D3" s="224" t="s">
        <v>162</v>
      </c>
      <c r="E3" s="225" t="s">
        <v>164</v>
      </c>
    </row>
    <row r="4" spans="1:5" s="209" customFormat="1" ht="32.25" customHeight="1">
      <c r="A4" s="348" t="s">
        <v>166</v>
      </c>
      <c r="B4" s="349"/>
      <c r="C4" s="350"/>
      <c r="D4" s="207">
        <v>100000</v>
      </c>
      <c r="E4" s="218"/>
    </row>
    <row r="5" spans="1:5" s="209" customFormat="1" ht="32.25" customHeight="1">
      <c r="A5" s="355" t="s">
        <v>119</v>
      </c>
      <c r="B5" s="351" t="s">
        <v>172</v>
      </c>
      <c r="C5" s="352"/>
      <c r="D5" s="206"/>
      <c r="E5" s="218"/>
    </row>
    <row r="6" spans="1:5" s="209" customFormat="1" ht="32.25" customHeight="1">
      <c r="A6" s="356"/>
      <c r="B6" s="351" t="s">
        <v>171</v>
      </c>
      <c r="C6" s="352"/>
      <c r="D6" s="206">
        <v>100000</v>
      </c>
      <c r="E6" s="218"/>
    </row>
    <row r="7" spans="1:5" s="209" customFormat="1" ht="32.25" customHeight="1">
      <c r="A7" s="356"/>
      <c r="B7" s="351" t="s">
        <v>168</v>
      </c>
      <c r="C7" s="352"/>
      <c r="D7" s="206">
        <f>D5+D6</f>
        <v>100000</v>
      </c>
      <c r="E7" s="218"/>
    </row>
    <row r="8" spans="1:5" s="209" customFormat="1" ht="32.25" customHeight="1" thickBot="1">
      <c r="A8" s="357"/>
      <c r="B8" s="358" t="s">
        <v>170</v>
      </c>
      <c r="C8" s="359"/>
      <c r="D8" s="220">
        <f>D4-D7</f>
        <v>0</v>
      </c>
      <c r="E8" s="221"/>
    </row>
    <row r="9" spans="1:5" s="210" customFormat="1" ht="21.75" customHeight="1" thickBot="1">
      <c r="A9" s="222"/>
      <c r="B9" s="222"/>
      <c r="C9" s="222"/>
      <c r="D9" s="209"/>
      <c r="E9" s="209"/>
    </row>
    <row r="10" spans="1:5" ht="33" customHeight="1">
      <c r="A10" s="223" t="s">
        <v>161</v>
      </c>
      <c r="B10" s="344" t="s">
        <v>169</v>
      </c>
      <c r="C10" s="344"/>
      <c r="D10" s="224" t="s">
        <v>162</v>
      </c>
      <c r="E10" s="228" t="s">
        <v>175</v>
      </c>
    </row>
    <row r="11" spans="1:5" ht="28.5" customHeight="1">
      <c r="A11" s="214"/>
      <c r="B11" s="353" t="s">
        <v>165</v>
      </c>
      <c r="C11" s="354"/>
      <c r="D11" s="216">
        <f>SUM(D12:D29)</f>
        <v>100445</v>
      </c>
      <c r="E11" s="215"/>
    </row>
    <row r="12" spans="1:5" ht="21.75" customHeight="1">
      <c r="A12" s="217">
        <v>1</v>
      </c>
      <c r="B12" s="341" t="s">
        <v>176</v>
      </c>
      <c r="C12" s="341"/>
      <c r="D12" s="206">
        <v>100445</v>
      </c>
      <c r="E12" s="218" t="s">
        <v>177</v>
      </c>
    </row>
    <row r="13" spans="1:5" ht="21.75" customHeight="1">
      <c r="A13" s="217">
        <v>2</v>
      </c>
      <c r="B13" s="341"/>
      <c r="C13" s="341"/>
      <c r="D13" s="206"/>
      <c r="E13" s="218"/>
    </row>
    <row r="14" spans="1:5" ht="21.75" customHeight="1">
      <c r="A14" s="217">
        <v>3</v>
      </c>
      <c r="B14" s="341"/>
      <c r="C14" s="341"/>
      <c r="D14" s="206"/>
      <c r="E14" s="218"/>
    </row>
    <row r="15" spans="1:5" ht="21.75" customHeight="1">
      <c r="A15" s="217">
        <v>4</v>
      </c>
      <c r="B15" s="341"/>
      <c r="C15" s="341"/>
      <c r="D15" s="206"/>
      <c r="E15" s="218"/>
    </row>
    <row r="16" spans="1:5" ht="21.75" customHeight="1">
      <c r="A16" s="217">
        <v>5</v>
      </c>
      <c r="B16" s="341"/>
      <c r="C16" s="341"/>
      <c r="D16" s="206"/>
      <c r="E16" s="218"/>
    </row>
    <row r="17" spans="1:5" ht="21.75" customHeight="1">
      <c r="A17" s="217">
        <v>6</v>
      </c>
      <c r="B17" s="341"/>
      <c r="C17" s="341"/>
      <c r="D17" s="206"/>
      <c r="E17" s="218"/>
    </row>
    <row r="18" spans="1:5" ht="21.75" customHeight="1">
      <c r="A18" s="217">
        <v>7</v>
      </c>
      <c r="B18" s="341"/>
      <c r="C18" s="341"/>
      <c r="D18" s="206"/>
      <c r="E18" s="218"/>
    </row>
    <row r="19" spans="1:5" ht="21.75" customHeight="1">
      <c r="A19" s="217">
        <v>8</v>
      </c>
      <c r="B19" s="341"/>
      <c r="C19" s="341"/>
      <c r="D19" s="206"/>
      <c r="E19" s="218"/>
    </row>
    <row r="20" spans="1:5" ht="21.75" customHeight="1">
      <c r="A20" s="217">
        <v>9</v>
      </c>
      <c r="B20" s="341"/>
      <c r="C20" s="341"/>
      <c r="D20" s="206"/>
      <c r="E20" s="218"/>
    </row>
    <row r="21" spans="1:5" ht="21.75" customHeight="1">
      <c r="A21" s="217">
        <v>10</v>
      </c>
      <c r="B21" s="341"/>
      <c r="C21" s="341"/>
      <c r="D21" s="206"/>
      <c r="E21" s="218"/>
    </row>
    <row r="22" spans="1:5" ht="21.75" customHeight="1">
      <c r="A22" s="217">
        <v>11</v>
      </c>
      <c r="B22" s="341"/>
      <c r="C22" s="341"/>
      <c r="D22" s="206"/>
      <c r="E22" s="218"/>
    </row>
    <row r="23" spans="1:5" ht="21.75" customHeight="1">
      <c r="A23" s="217">
        <v>12</v>
      </c>
      <c r="B23" s="341"/>
      <c r="C23" s="341"/>
      <c r="D23" s="206"/>
      <c r="E23" s="218"/>
    </row>
    <row r="24" spans="1:5" ht="21.75" customHeight="1">
      <c r="A24" s="217">
        <v>13</v>
      </c>
      <c r="B24" s="341"/>
      <c r="C24" s="341"/>
      <c r="D24" s="206"/>
      <c r="E24" s="218"/>
    </row>
    <row r="25" spans="1:5" ht="21.75" customHeight="1">
      <c r="A25" s="217">
        <v>14</v>
      </c>
      <c r="B25" s="341"/>
      <c r="C25" s="341"/>
      <c r="D25" s="206"/>
      <c r="E25" s="218"/>
    </row>
    <row r="26" spans="1:5" ht="21.75" customHeight="1">
      <c r="A26" s="217">
        <v>15</v>
      </c>
      <c r="B26" s="341"/>
      <c r="C26" s="341"/>
      <c r="D26" s="206"/>
      <c r="E26" s="218"/>
    </row>
    <row r="27" spans="1:5" ht="21.75" customHeight="1">
      <c r="A27" s="217">
        <v>16</v>
      </c>
      <c r="B27" s="341"/>
      <c r="C27" s="341"/>
      <c r="D27" s="206"/>
      <c r="E27" s="218"/>
    </row>
    <row r="28" spans="1:5" ht="21.75" customHeight="1">
      <c r="A28" s="217">
        <v>17</v>
      </c>
      <c r="B28" s="341"/>
      <c r="C28" s="341"/>
      <c r="D28" s="206"/>
      <c r="E28" s="218"/>
    </row>
    <row r="29" spans="1:5" ht="21.75" customHeight="1" thickBot="1">
      <c r="A29" s="219">
        <v>18</v>
      </c>
      <c r="B29" s="342"/>
      <c r="C29" s="342"/>
      <c r="D29" s="220"/>
      <c r="E29" s="221"/>
    </row>
    <row r="30" spans="1:5" s="209" customFormat="1">
      <c r="B30" s="208"/>
    </row>
    <row r="31" spans="1:5" s="209" customFormat="1">
      <c r="B31" s="208"/>
    </row>
  </sheetData>
  <mergeCells count="28">
    <mergeCell ref="A1:E1"/>
    <mergeCell ref="B10:C10"/>
    <mergeCell ref="B12:C12"/>
    <mergeCell ref="B13:C13"/>
    <mergeCell ref="B14:C14"/>
    <mergeCell ref="A3:C3"/>
    <mergeCell ref="A4:C4"/>
    <mergeCell ref="B5:C5"/>
    <mergeCell ref="B6:C6"/>
    <mergeCell ref="B7:C7"/>
    <mergeCell ref="B11:C11"/>
    <mergeCell ref="A5:A8"/>
    <mergeCell ref="B8:C8"/>
    <mergeCell ref="B29:C29"/>
    <mergeCell ref="B28:C28"/>
    <mergeCell ref="B21:C21"/>
    <mergeCell ref="B22:C22"/>
    <mergeCell ref="B25:C25"/>
    <mergeCell ref="B26:C26"/>
    <mergeCell ref="B27:C27"/>
    <mergeCell ref="B23:C23"/>
    <mergeCell ref="B24:C24"/>
    <mergeCell ref="B20:C20"/>
    <mergeCell ref="B15:C15"/>
    <mergeCell ref="B16:C16"/>
    <mergeCell ref="B17:C17"/>
    <mergeCell ref="B18:C18"/>
    <mergeCell ref="B19:C19"/>
  </mergeCells>
  <phoneticPr fontId="2" type="noConversion"/>
  <pageMargins left="0.47" right="0.33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6"/>
  <dimension ref="A1:Q32"/>
  <sheetViews>
    <sheetView workbookViewId="0">
      <pane xSplit="2" ySplit="4" topLeftCell="C14" activePane="bottomRight" state="frozen"/>
      <selection pane="topRight" activeCell="C1" sqref="C1"/>
      <selection pane="bottomLeft" activeCell="A5" sqref="A5"/>
      <selection pane="bottomRight" activeCell="K29" sqref="K29"/>
    </sheetView>
  </sheetViews>
  <sheetFormatPr defaultRowHeight="16.5"/>
  <cols>
    <col min="1" max="1" width="4.25" style="1" customWidth="1"/>
    <col min="2" max="2" width="7.25" style="1" customWidth="1"/>
    <col min="3" max="14" width="13" customWidth="1"/>
    <col min="15" max="15" width="1.375" customWidth="1"/>
    <col min="16" max="16" width="8.625" style="3" customWidth="1"/>
    <col min="17" max="17" width="9.5" bestFit="1" customWidth="1"/>
  </cols>
  <sheetData>
    <row r="1" spans="1:17" ht="53.25" customHeight="1">
      <c r="A1" s="41"/>
      <c r="B1" s="41"/>
      <c r="C1" s="366" t="s">
        <v>125</v>
      </c>
      <c r="D1" s="366"/>
      <c r="E1" s="366"/>
      <c r="F1" s="366"/>
      <c r="G1" s="367" t="s">
        <v>126</v>
      </c>
      <c r="H1" s="367"/>
      <c r="I1" s="367"/>
      <c r="J1" s="367"/>
      <c r="K1" s="363" t="s">
        <v>128</v>
      </c>
      <c r="L1" s="363"/>
      <c r="M1" s="363"/>
      <c r="N1" s="363"/>
    </row>
    <row r="2" spans="1:17" s="1" customFormat="1" ht="21" customHeight="1">
      <c r="A2" s="41"/>
      <c r="B2" s="41"/>
      <c r="C2" s="79" t="s">
        <v>42</v>
      </c>
      <c r="D2" s="79" t="s">
        <v>113</v>
      </c>
      <c r="E2" s="79" t="s">
        <v>123</v>
      </c>
      <c r="F2" s="79" t="s">
        <v>86</v>
      </c>
      <c r="G2" s="5" t="s">
        <v>42</v>
      </c>
      <c r="H2" s="5" t="s">
        <v>113</v>
      </c>
      <c r="I2" s="5" t="s">
        <v>123</v>
      </c>
      <c r="J2" s="5" t="s">
        <v>86</v>
      </c>
      <c r="K2" s="94" t="s">
        <v>42</v>
      </c>
      <c r="L2" s="94" t="s">
        <v>113</v>
      </c>
      <c r="M2" s="94" t="s">
        <v>123</v>
      </c>
      <c r="N2" s="94" t="s">
        <v>86</v>
      </c>
      <c r="P2" s="98"/>
    </row>
    <row r="3" spans="1:17" s="80" customFormat="1" ht="30" customHeight="1">
      <c r="A3" s="82"/>
      <c r="B3" s="368" t="s">
        <v>124</v>
      </c>
      <c r="C3" s="370">
        <f>SUM(C4:D4)</f>
        <v>0</v>
      </c>
      <c r="D3" s="371"/>
      <c r="E3" s="87">
        <f>E4</f>
        <v>0</v>
      </c>
      <c r="F3" s="87">
        <f>SUM(C3:E3)</f>
        <v>0</v>
      </c>
      <c r="G3" s="372">
        <f>SUM(G4:H4)</f>
        <v>0</v>
      </c>
      <c r="H3" s="373"/>
      <c r="I3" s="88">
        <f>SUM(I4)</f>
        <v>0</v>
      </c>
      <c r="J3" s="88">
        <f>SUM(G3:I3)</f>
        <v>0</v>
      </c>
      <c r="K3" s="364">
        <f>SUM(K4:L4)</f>
        <v>0</v>
      </c>
      <c r="L3" s="365"/>
      <c r="M3" s="95">
        <f>SUM(M4)</f>
        <v>0</v>
      </c>
      <c r="N3" s="95">
        <f>SUM(K3:M3)</f>
        <v>0</v>
      </c>
      <c r="P3" s="99"/>
    </row>
    <row r="4" spans="1:17" s="81" customFormat="1" ht="32.25" customHeight="1">
      <c r="A4" s="82"/>
      <c r="B4" s="369"/>
      <c r="C4" s="83">
        <f t="shared" ref="C4:N4" si="0">SUM(C5:C27)</f>
        <v>0</v>
      </c>
      <c r="D4" s="83">
        <f t="shared" si="0"/>
        <v>0</v>
      </c>
      <c r="E4" s="83">
        <f t="shared" si="0"/>
        <v>0</v>
      </c>
      <c r="F4" s="83">
        <f t="shared" si="0"/>
        <v>0</v>
      </c>
      <c r="G4" s="84">
        <f t="shared" si="0"/>
        <v>0</v>
      </c>
      <c r="H4" s="84">
        <f t="shared" si="0"/>
        <v>0</v>
      </c>
      <c r="I4" s="84">
        <f t="shared" si="0"/>
        <v>0</v>
      </c>
      <c r="J4" s="84">
        <f t="shared" si="0"/>
        <v>0</v>
      </c>
      <c r="K4" s="96">
        <f t="shared" si="0"/>
        <v>0</v>
      </c>
      <c r="L4" s="96">
        <f t="shared" si="0"/>
        <v>0</v>
      </c>
      <c r="M4" s="96">
        <f t="shared" si="0"/>
        <v>0</v>
      </c>
      <c r="N4" s="96">
        <f t="shared" si="0"/>
        <v>0</v>
      </c>
      <c r="P4" s="100">
        <f>SUM(P5:P27)</f>
        <v>38806</v>
      </c>
      <c r="Q4" s="100">
        <f>SUM(Q5:Q27)</f>
        <v>26895</v>
      </c>
    </row>
    <row r="5" spans="1:17">
      <c r="A5" s="41">
        <v>1</v>
      </c>
      <c r="B5" s="41" t="s">
        <v>115</v>
      </c>
      <c r="C5" s="85"/>
      <c r="D5" s="85"/>
      <c r="E5" s="85"/>
      <c r="F5" s="85">
        <f>SUM(C5:E5)</f>
        <v>0</v>
      </c>
      <c r="G5" s="101"/>
      <c r="H5" s="101"/>
      <c r="I5" s="101"/>
      <c r="J5" s="86">
        <f>SUM(G5:I5)</f>
        <v>0</v>
      </c>
      <c r="K5" s="59">
        <f>C5-G5</f>
        <v>0</v>
      </c>
      <c r="L5" s="59">
        <f>D5-H5</f>
        <v>0</v>
      </c>
      <c r="M5" s="59">
        <f>I5-E5</f>
        <v>0</v>
      </c>
      <c r="N5" s="59">
        <f>SUM(K5:M5)</f>
        <v>0</v>
      </c>
      <c r="P5" s="3">
        <v>11911</v>
      </c>
      <c r="Q5" s="97"/>
    </row>
    <row r="6" spans="1:17">
      <c r="A6" s="41">
        <v>2</v>
      </c>
      <c r="B6" s="41" t="s">
        <v>38</v>
      </c>
      <c r="C6" s="85"/>
      <c r="D6" s="85"/>
      <c r="E6" s="85"/>
      <c r="F6" s="85">
        <f t="shared" ref="F6:F27" si="1">SUM(C6:E6)</f>
        <v>0</v>
      </c>
      <c r="G6" s="101"/>
      <c r="H6" s="101"/>
      <c r="I6" s="101"/>
      <c r="J6" s="86">
        <f t="shared" ref="J6:J27" si="2">SUM(G6:I6)</f>
        <v>0</v>
      </c>
      <c r="K6" s="59">
        <f t="shared" ref="K6:K27" si="3">C6-G6</f>
        <v>0</v>
      </c>
      <c r="L6" s="59">
        <f t="shared" ref="L6:L27" si="4">D6-H6</f>
        <v>0</v>
      </c>
      <c r="M6" s="59">
        <f t="shared" ref="M6:M27" si="5">I6-E6</f>
        <v>0</v>
      </c>
      <c r="N6" s="59">
        <f t="shared" ref="N6:N27" si="6">SUM(K6:M6)</f>
        <v>0</v>
      </c>
      <c r="P6" s="102">
        <v>2123</v>
      </c>
      <c r="Q6" s="97">
        <f>P6-K6-L6</f>
        <v>2123</v>
      </c>
    </row>
    <row r="7" spans="1:17">
      <c r="A7" s="41">
        <v>3</v>
      </c>
      <c r="B7" s="41" t="s">
        <v>85</v>
      </c>
      <c r="C7" s="85"/>
      <c r="D7" s="85"/>
      <c r="E7" s="85"/>
      <c r="F7" s="85">
        <f t="shared" si="1"/>
        <v>0</v>
      </c>
      <c r="G7" s="101"/>
      <c r="H7" s="101"/>
      <c r="I7" s="101"/>
      <c r="J7" s="86">
        <f t="shared" si="2"/>
        <v>0</v>
      </c>
      <c r="K7" s="59">
        <f t="shared" si="3"/>
        <v>0</v>
      </c>
      <c r="L7" s="59">
        <f t="shared" si="4"/>
        <v>0</v>
      </c>
      <c r="M7" s="59">
        <f t="shared" si="5"/>
        <v>0</v>
      </c>
      <c r="N7" s="59">
        <f t="shared" si="6"/>
        <v>0</v>
      </c>
      <c r="P7" s="102">
        <v>313</v>
      </c>
      <c r="Q7" s="97">
        <f t="shared" ref="Q7:Q27" si="7">P7-K7-L7</f>
        <v>313</v>
      </c>
    </row>
    <row r="8" spans="1:17">
      <c r="A8" s="41">
        <v>4</v>
      </c>
      <c r="B8" s="41" t="s">
        <v>2</v>
      </c>
      <c r="C8" s="85"/>
      <c r="D8" s="85"/>
      <c r="E8" s="85"/>
      <c r="F8" s="85">
        <f t="shared" si="1"/>
        <v>0</v>
      </c>
      <c r="G8" s="101"/>
      <c r="H8" s="101"/>
      <c r="I8" s="101"/>
      <c r="J8" s="86">
        <f t="shared" si="2"/>
        <v>0</v>
      </c>
      <c r="K8" s="59">
        <f t="shared" si="3"/>
        <v>0</v>
      </c>
      <c r="L8" s="59">
        <f t="shared" si="4"/>
        <v>0</v>
      </c>
      <c r="M8" s="59">
        <f t="shared" si="5"/>
        <v>0</v>
      </c>
      <c r="N8" s="59">
        <f t="shared" si="6"/>
        <v>0</v>
      </c>
      <c r="P8" s="3">
        <v>0</v>
      </c>
      <c r="Q8" s="97">
        <f t="shared" si="7"/>
        <v>0</v>
      </c>
    </row>
    <row r="9" spans="1:17">
      <c r="A9" s="41">
        <v>5</v>
      </c>
      <c r="B9" s="41" t="s">
        <v>3</v>
      </c>
      <c r="C9" s="85"/>
      <c r="D9" s="85"/>
      <c r="E9" s="85"/>
      <c r="F9" s="85">
        <f t="shared" si="1"/>
        <v>0</v>
      </c>
      <c r="G9" s="101"/>
      <c r="H9" s="101"/>
      <c r="I9" s="101"/>
      <c r="J9" s="86">
        <f t="shared" si="2"/>
        <v>0</v>
      </c>
      <c r="K9" s="59">
        <f t="shared" si="3"/>
        <v>0</v>
      </c>
      <c r="L9" s="59">
        <f t="shared" si="4"/>
        <v>0</v>
      </c>
      <c r="M9" s="59">
        <f t="shared" si="5"/>
        <v>0</v>
      </c>
      <c r="N9" s="59">
        <f t="shared" si="6"/>
        <v>0</v>
      </c>
      <c r="P9" s="3">
        <v>0</v>
      </c>
      <c r="Q9" s="97">
        <f t="shared" si="7"/>
        <v>0</v>
      </c>
    </row>
    <row r="10" spans="1:17">
      <c r="A10" s="41">
        <v>6</v>
      </c>
      <c r="B10" s="41" t="s">
        <v>4</v>
      </c>
      <c r="C10" s="85"/>
      <c r="D10" s="85"/>
      <c r="E10" s="85"/>
      <c r="F10" s="85">
        <f t="shared" si="1"/>
        <v>0</v>
      </c>
      <c r="G10" s="101"/>
      <c r="H10" s="101"/>
      <c r="I10" s="101"/>
      <c r="J10" s="86">
        <f t="shared" si="2"/>
        <v>0</v>
      </c>
      <c r="K10" s="59">
        <f t="shared" si="3"/>
        <v>0</v>
      </c>
      <c r="L10" s="59">
        <f t="shared" si="4"/>
        <v>0</v>
      </c>
      <c r="M10" s="59">
        <f t="shared" si="5"/>
        <v>0</v>
      </c>
      <c r="N10" s="59">
        <f t="shared" si="6"/>
        <v>0</v>
      </c>
      <c r="P10" s="102">
        <v>1696</v>
      </c>
      <c r="Q10" s="97">
        <f t="shared" si="7"/>
        <v>1696</v>
      </c>
    </row>
    <row r="11" spans="1:17">
      <c r="A11" s="41">
        <v>7</v>
      </c>
      <c r="B11" s="41" t="s">
        <v>5</v>
      </c>
      <c r="C11" s="85"/>
      <c r="D11" s="85"/>
      <c r="E11" s="85"/>
      <c r="F11" s="85">
        <f t="shared" si="1"/>
        <v>0</v>
      </c>
      <c r="G11" s="101"/>
      <c r="H11" s="101"/>
      <c r="I11" s="101"/>
      <c r="J11" s="86">
        <f t="shared" si="2"/>
        <v>0</v>
      </c>
      <c r="K11" s="59">
        <f t="shared" si="3"/>
        <v>0</v>
      </c>
      <c r="L11" s="59">
        <f t="shared" si="4"/>
        <v>0</v>
      </c>
      <c r="M11" s="59">
        <f t="shared" si="5"/>
        <v>0</v>
      </c>
      <c r="N11" s="59">
        <f t="shared" si="6"/>
        <v>0</v>
      </c>
      <c r="P11" s="102">
        <v>2536</v>
      </c>
      <c r="Q11" s="97">
        <f t="shared" si="7"/>
        <v>2536</v>
      </c>
    </row>
    <row r="12" spans="1:17">
      <c r="A12" s="41">
        <v>8</v>
      </c>
      <c r="B12" s="41" t="s">
        <v>39</v>
      </c>
      <c r="C12" s="85"/>
      <c r="D12" s="85"/>
      <c r="E12" s="85"/>
      <c r="F12" s="85">
        <f t="shared" si="1"/>
        <v>0</v>
      </c>
      <c r="G12" s="101"/>
      <c r="H12" s="101"/>
      <c r="I12" s="101"/>
      <c r="J12" s="86">
        <f t="shared" si="2"/>
        <v>0</v>
      </c>
      <c r="K12" s="59">
        <f t="shared" si="3"/>
        <v>0</v>
      </c>
      <c r="L12" s="59">
        <f t="shared" si="4"/>
        <v>0</v>
      </c>
      <c r="M12" s="59">
        <f t="shared" si="5"/>
        <v>0</v>
      </c>
      <c r="N12" s="59">
        <f t="shared" si="6"/>
        <v>0</v>
      </c>
      <c r="P12" s="102">
        <v>3133</v>
      </c>
      <c r="Q12" s="97">
        <f t="shared" si="7"/>
        <v>3133</v>
      </c>
    </row>
    <row r="13" spans="1:17">
      <c r="A13" s="41">
        <v>9</v>
      </c>
      <c r="B13" s="41" t="s">
        <v>6</v>
      </c>
      <c r="C13" s="85"/>
      <c r="D13" s="85"/>
      <c r="E13" s="85"/>
      <c r="F13" s="85">
        <f t="shared" si="1"/>
        <v>0</v>
      </c>
      <c r="G13" s="101"/>
      <c r="H13" s="101"/>
      <c r="I13" s="101"/>
      <c r="J13" s="86">
        <f t="shared" si="2"/>
        <v>0</v>
      </c>
      <c r="K13" s="59">
        <f t="shared" si="3"/>
        <v>0</v>
      </c>
      <c r="L13" s="59">
        <f t="shared" si="4"/>
        <v>0</v>
      </c>
      <c r="M13" s="59">
        <f t="shared" si="5"/>
        <v>0</v>
      </c>
      <c r="N13" s="59">
        <f t="shared" si="6"/>
        <v>0</v>
      </c>
      <c r="P13" s="102">
        <v>1007</v>
      </c>
      <c r="Q13" s="97">
        <f t="shared" si="7"/>
        <v>1007</v>
      </c>
    </row>
    <row r="14" spans="1:17" ht="15.75" customHeight="1">
      <c r="A14" s="41">
        <v>10</v>
      </c>
      <c r="B14" s="41" t="s">
        <v>7</v>
      </c>
      <c r="C14" s="85"/>
      <c r="D14" s="85"/>
      <c r="E14" s="85"/>
      <c r="F14" s="85">
        <f t="shared" si="1"/>
        <v>0</v>
      </c>
      <c r="G14" s="101"/>
      <c r="H14" s="101"/>
      <c r="I14" s="101"/>
      <c r="J14" s="86">
        <f t="shared" si="2"/>
        <v>0</v>
      </c>
      <c r="K14" s="59">
        <f t="shared" si="3"/>
        <v>0</v>
      </c>
      <c r="L14" s="59">
        <f t="shared" si="4"/>
        <v>0</v>
      </c>
      <c r="M14" s="59">
        <f t="shared" si="5"/>
        <v>0</v>
      </c>
      <c r="N14" s="59">
        <f t="shared" si="6"/>
        <v>0</v>
      </c>
      <c r="P14" s="102">
        <v>893</v>
      </c>
      <c r="Q14" s="97">
        <f t="shared" si="7"/>
        <v>893</v>
      </c>
    </row>
    <row r="15" spans="1:17">
      <c r="A15" s="41">
        <v>11</v>
      </c>
      <c r="B15" s="41" t="s">
        <v>8</v>
      </c>
      <c r="C15" s="85"/>
      <c r="D15" s="85"/>
      <c r="E15" s="85"/>
      <c r="F15" s="85">
        <f t="shared" si="1"/>
        <v>0</v>
      </c>
      <c r="G15" s="101"/>
      <c r="H15" s="101"/>
      <c r="I15" s="101"/>
      <c r="J15" s="86">
        <f t="shared" si="2"/>
        <v>0</v>
      </c>
      <c r="K15" s="59">
        <f t="shared" si="3"/>
        <v>0</v>
      </c>
      <c r="L15" s="59">
        <f t="shared" si="4"/>
        <v>0</v>
      </c>
      <c r="M15" s="59">
        <f t="shared" si="5"/>
        <v>0</v>
      </c>
      <c r="N15" s="59">
        <f t="shared" si="6"/>
        <v>0</v>
      </c>
      <c r="P15" s="3">
        <v>0</v>
      </c>
      <c r="Q15" s="97">
        <f t="shared" si="7"/>
        <v>0</v>
      </c>
    </row>
    <row r="16" spans="1:17">
      <c r="A16" s="41">
        <v>12</v>
      </c>
      <c r="B16" s="41" t="s">
        <v>9</v>
      </c>
      <c r="C16" s="85"/>
      <c r="D16" s="85"/>
      <c r="E16" s="85"/>
      <c r="F16" s="85">
        <f t="shared" si="1"/>
        <v>0</v>
      </c>
      <c r="G16" s="101"/>
      <c r="H16" s="101"/>
      <c r="I16" s="101"/>
      <c r="J16" s="86">
        <f t="shared" si="2"/>
        <v>0</v>
      </c>
      <c r="K16" s="59">
        <f t="shared" si="3"/>
        <v>0</v>
      </c>
      <c r="L16" s="59">
        <f t="shared" si="4"/>
        <v>0</v>
      </c>
      <c r="M16" s="59">
        <f t="shared" si="5"/>
        <v>0</v>
      </c>
      <c r="N16" s="59">
        <f t="shared" si="6"/>
        <v>0</v>
      </c>
      <c r="P16" s="102">
        <v>1533</v>
      </c>
      <c r="Q16" s="97">
        <f t="shared" si="7"/>
        <v>1533</v>
      </c>
    </row>
    <row r="17" spans="1:17">
      <c r="A17" s="41">
        <v>13</v>
      </c>
      <c r="B17" s="41" t="s">
        <v>10</v>
      </c>
      <c r="C17" s="85"/>
      <c r="D17" s="85"/>
      <c r="E17" s="85"/>
      <c r="F17" s="85">
        <f t="shared" si="1"/>
        <v>0</v>
      </c>
      <c r="G17" s="101"/>
      <c r="H17" s="101"/>
      <c r="I17" s="101"/>
      <c r="J17" s="86">
        <f t="shared" si="2"/>
        <v>0</v>
      </c>
      <c r="K17" s="59">
        <f t="shared" si="3"/>
        <v>0</v>
      </c>
      <c r="L17" s="59">
        <f t="shared" si="4"/>
        <v>0</v>
      </c>
      <c r="M17" s="59">
        <f t="shared" si="5"/>
        <v>0</v>
      </c>
      <c r="N17" s="59">
        <f t="shared" si="6"/>
        <v>0</v>
      </c>
      <c r="P17" s="3">
        <v>0</v>
      </c>
      <c r="Q17" s="97">
        <f t="shared" si="7"/>
        <v>0</v>
      </c>
    </row>
    <row r="18" spans="1:17">
      <c r="A18" s="41">
        <v>14</v>
      </c>
      <c r="B18" s="41" t="s">
        <v>11</v>
      </c>
      <c r="C18" s="85"/>
      <c r="D18" s="85"/>
      <c r="E18" s="85"/>
      <c r="F18" s="85">
        <f t="shared" si="1"/>
        <v>0</v>
      </c>
      <c r="G18" s="101"/>
      <c r="H18" s="101"/>
      <c r="I18" s="101"/>
      <c r="J18" s="86">
        <f t="shared" si="2"/>
        <v>0</v>
      </c>
      <c r="K18" s="59">
        <f t="shared" si="3"/>
        <v>0</v>
      </c>
      <c r="L18" s="59">
        <f t="shared" si="4"/>
        <v>0</v>
      </c>
      <c r="M18" s="59">
        <f t="shared" si="5"/>
        <v>0</v>
      </c>
      <c r="N18" s="59">
        <f t="shared" si="6"/>
        <v>0</v>
      </c>
      <c r="P18" s="102">
        <v>1612</v>
      </c>
      <c r="Q18" s="97">
        <f t="shared" si="7"/>
        <v>1612</v>
      </c>
    </row>
    <row r="19" spans="1:17">
      <c r="A19" s="41">
        <v>15</v>
      </c>
      <c r="B19" s="41" t="s">
        <v>12</v>
      </c>
      <c r="C19" s="85"/>
      <c r="D19" s="85"/>
      <c r="E19" s="85"/>
      <c r="F19" s="85">
        <f t="shared" si="1"/>
        <v>0</v>
      </c>
      <c r="G19" s="101"/>
      <c r="H19" s="101"/>
      <c r="I19" s="101"/>
      <c r="J19" s="86">
        <f t="shared" si="2"/>
        <v>0</v>
      </c>
      <c r="K19" s="59">
        <f t="shared" si="3"/>
        <v>0</v>
      </c>
      <c r="L19" s="59">
        <f t="shared" si="4"/>
        <v>0</v>
      </c>
      <c r="M19" s="59">
        <f>I19-E19</f>
        <v>0</v>
      </c>
      <c r="N19" s="59">
        <f t="shared" si="6"/>
        <v>0</v>
      </c>
      <c r="P19" s="102">
        <v>3586</v>
      </c>
      <c r="Q19" s="97">
        <f t="shared" si="7"/>
        <v>3586</v>
      </c>
    </row>
    <row r="20" spans="1:17">
      <c r="A20" s="41">
        <v>16</v>
      </c>
      <c r="B20" s="41" t="s">
        <v>13</v>
      </c>
      <c r="C20" s="85"/>
      <c r="D20" s="85"/>
      <c r="E20" s="85"/>
      <c r="F20" s="85">
        <f t="shared" si="1"/>
        <v>0</v>
      </c>
      <c r="G20" s="101"/>
      <c r="H20" s="101"/>
      <c r="I20" s="101"/>
      <c r="J20" s="86">
        <f t="shared" si="2"/>
        <v>0</v>
      </c>
      <c r="K20" s="59">
        <f t="shared" si="3"/>
        <v>0</v>
      </c>
      <c r="L20" s="59">
        <f t="shared" si="4"/>
        <v>0</v>
      </c>
      <c r="M20" s="59">
        <f t="shared" si="5"/>
        <v>0</v>
      </c>
      <c r="N20" s="59">
        <f t="shared" si="6"/>
        <v>0</v>
      </c>
      <c r="P20" s="102">
        <v>2033</v>
      </c>
      <c r="Q20" s="97">
        <f t="shared" si="7"/>
        <v>2033</v>
      </c>
    </row>
    <row r="21" spans="1:17">
      <c r="A21" s="41">
        <v>17</v>
      </c>
      <c r="B21" s="41" t="s">
        <v>14</v>
      </c>
      <c r="C21" s="85"/>
      <c r="D21" s="85"/>
      <c r="E21" s="85"/>
      <c r="F21" s="85">
        <f t="shared" si="1"/>
        <v>0</v>
      </c>
      <c r="G21" s="101"/>
      <c r="H21" s="101"/>
      <c r="I21" s="101"/>
      <c r="J21" s="86">
        <f t="shared" si="2"/>
        <v>0</v>
      </c>
      <c r="K21" s="59">
        <f t="shared" si="3"/>
        <v>0</v>
      </c>
      <c r="L21" s="59">
        <f t="shared" si="4"/>
        <v>0</v>
      </c>
      <c r="M21" s="59">
        <f t="shared" si="5"/>
        <v>0</v>
      </c>
      <c r="N21" s="59">
        <f t="shared" si="6"/>
        <v>0</v>
      </c>
      <c r="P21" s="3">
        <v>0</v>
      </c>
      <c r="Q21" s="97">
        <f t="shared" si="7"/>
        <v>0</v>
      </c>
    </row>
    <row r="22" spans="1:17">
      <c r="A22" s="41">
        <v>18</v>
      </c>
      <c r="B22" s="41" t="s">
        <v>15</v>
      </c>
      <c r="C22" s="85"/>
      <c r="D22" s="85"/>
      <c r="E22" s="85"/>
      <c r="F22" s="85">
        <f t="shared" si="1"/>
        <v>0</v>
      </c>
      <c r="G22" s="101"/>
      <c r="H22" s="101"/>
      <c r="I22" s="101"/>
      <c r="J22" s="86">
        <f t="shared" si="2"/>
        <v>0</v>
      </c>
      <c r="K22" s="59">
        <f t="shared" si="3"/>
        <v>0</v>
      </c>
      <c r="L22" s="59">
        <f t="shared" si="4"/>
        <v>0</v>
      </c>
      <c r="M22" s="59">
        <f t="shared" si="5"/>
        <v>0</v>
      </c>
      <c r="N22" s="59">
        <f t="shared" si="6"/>
        <v>0</v>
      </c>
      <c r="P22" s="3">
        <v>0</v>
      </c>
      <c r="Q22" s="97">
        <f t="shared" si="7"/>
        <v>0</v>
      </c>
    </row>
    <row r="23" spans="1:17">
      <c r="A23" s="41">
        <v>19</v>
      </c>
      <c r="B23" s="41" t="s">
        <v>16</v>
      </c>
      <c r="C23" s="85"/>
      <c r="D23" s="85"/>
      <c r="E23" s="85"/>
      <c r="F23" s="85">
        <f t="shared" si="1"/>
        <v>0</v>
      </c>
      <c r="G23" s="101"/>
      <c r="H23" s="101"/>
      <c r="I23" s="101"/>
      <c r="J23" s="86">
        <f t="shared" si="2"/>
        <v>0</v>
      </c>
      <c r="K23" s="59">
        <f t="shared" si="3"/>
        <v>0</v>
      </c>
      <c r="L23" s="59">
        <f t="shared" si="4"/>
        <v>0</v>
      </c>
      <c r="M23" s="59">
        <f t="shared" si="5"/>
        <v>0</v>
      </c>
      <c r="N23" s="59">
        <f t="shared" si="6"/>
        <v>0</v>
      </c>
      <c r="P23" s="102">
        <v>214</v>
      </c>
      <c r="Q23" s="97">
        <f t="shared" si="7"/>
        <v>214</v>
      </c>
    </row>
    <row r="24" spans="1:17">
      <c r="A24" s="41">
        <v>20</v>
      </c>
      <c r="B24" s="41" t="s">
        <v>17</v>
      </c>
      <c r="C24" s="85"/>
      <c r="D24" s="89"/>
      <c r="E24" s="85"/>
      <c r="F24" s="85">
        <f t="shared" si="1"/>
        <v>0</v>
      </c>
      <c r="G24" s="101"/>
      <c r="H24" s="101"/>
      <c r="I24" s="101"/>
      <c r="J24" s="86">
        <f t="shared" si="2"/>
        <v>0</v>
      </c>
      <c r="K24" s="59">
        <f t="shared" si="3"/>
        <v>0</v>
      </c>
      <c r="L24" s="59">
        <f t="shared" si="4"/>
        <v>0</v>
      </c>
      <c r="M24" s="59">
        <f t="shared" si="5"/>
        <v>0</v>
      </c>
      <c r="N24" s="59">
        <f t="shared" si="6"/>
        <v>0</v>
      </c>
      <c r="P24" s="102">
        <v>440</v>
      </c>
      <c r="Q24" s="97">
        <f t="shared" si="7"/>
        <v>440</v>
      </c>
    </row>
    <row r="25" spans="1:17">
      <c r="A25" s="41">
        <v>21</v>
      </c>
      <c r="B25" s="41" t="s">
        <v>18</v>
      </c>
      <c r="C25" s="85"/>
      <c r="D25" s="85"/>
      <c r="E25" s="85"/>
      <c r="F25" s="85">
        <f t="shared" si="1"/>
        <v>0</v>
      </c>
      <c r="G25" s="101"/>
      <c r="H25" s="101"/>
      <c r="I25" s="101"/>
      <c r="J25" s="86">
        <f t="shared" si="2"/>
        <v>0</v>
      </c>
      <c r="K25" s="59">
        <f t="shared" si="3"/>
        <v>0</v>
      </c>
      <c r="L25" s="59">
        <f t="shared" si="4"/>
        <v>0</v>
      </c>
      <c r="M25" s="59">
        <f t="shared" si="5"/>
        <v>0</v>
      </c>
      <c r="N25" s="59">
        <f t="shared" si="6"/>
        <v>0</v>
      </c>
      <c r="P25" s="102">
        <v>1173</v>
      </c>
      <c r="Q25" s="97">
        <f t="shared" si="7"/>
        <v>1173</v>
      </c>
    </row>
    <row r="26" spans="1:17">
      <c r="A26" s="41">
        <v>22</v>
      </c>
      <c r="B26" s="41" t="s">
        <v>19</v>
      </c>
      <c r="C26" s="85"/>
      <c r="D26" s="85"/>
      <c r="E26" s="85"/>
      <c r="F26" s="85">
        <f t="shared" si="1"/>
        <v>0</v>
      </c>
      <c r="G26" s="101"/>
      <c r="H26" s="101"/>
      <c r="I26" s="101"/>
      <c r="J26" s="86">
        <f t="shared" si="2"/>
        <v>0</v>
      </c>
      <c r="K26" s="59">
        <f t="shared" si="3"/>
        <v>0</v>
      </c>
      <c r="L26" s="59">
        <f t="shared" si="4"/>
        <v>0</v>
      </c>
      <c r="M26" s="59">
        <f t="shared" si="5"/>
        <v>0</v>
      </c>
      <c r="N26" s="59">
        <f t="shared" si="6"/>
        <v>0</v>
      </c>
      <c r="P26" s="3">
        <v>0</v>
      </c>
      <c r="Q26" s="97">
        <f t="shared" si="7"/>
        <v>0</v>
      </c>
    </row>
    <row r="27" spans="1:17">
      <c r="A27" s="41">
        <v>23</v>
      </c>
      <c r="B27" s="41" t="s">
        <v>20</v>
      </c>
      <c r="C27" s="85"/>
      <c r="D27" s="85"/>
      <c r="E27" s="85"/>
      <c r="F27" s="85">
        <f t="shared" si="1"/>
        <v>0</v>
      </c>
      <c r="G27" s="101"/>
      <c r="H27" s="101"/>
      <c r="I27" s="101"/>
      <c r="J27" s="86">
        <f t="shared" si="2"/>
        <v>0</v>
      </c>
      <c r="K27" s="59">
        <f t="shared" si="3"/>
        <v>0</v>
      </c>
      <c r="L27" s="59">
        <f t="shared" si="4"/>
        <v>0</v>
      </c>
      <c r="M27" s="59">
        <f t="shared" si="5"/>
        <v>0</v>
      </c>
      <c r="N27" s="59">
        <f t="shared" si="6"/>
        <v>0</v>
      </c>
      <c r="P27" s="102">
        <v>4603</v>
      </c>
      <c r="Q27" s="97">
        <f t="shared" si="7"/>
        <v>4603</v>
      </c>
    </row>
    <row r="29" spans="1:17" s="1" customFormat="1" ht="51.75" customHeight="1">
      <c r="A29" s="317"/>
      <c r="B29" s="318"/>
      <c r="C29" s="90" t="s">
        <v>144</v>
      </c>
      <c r="D29" s="92" t="s">
        <v>143</v>
      </c>
      <c r="E29" s="91" t="s">
        <v>127</v>
      </c>
      <c r="P29" s="98"/>
    </row>
    <row r="30" spans="1:17">
      <c r="A30" s="360" t="s">
        <v>118</v>
      </c>
      <c r="B30" s="360"/>
      <c r="C30" s="85">
        <v>62691000</v>
      </c>
      <c r="D30" s="86">
        <f>C30</f>
        <v>62691000</v>
      </c>
      <c r="E30" s="93">
        <f>C30-D30</f>
        <v>0</v>
      </c>
    </row>
    <row r="31" spans="1:17">
      <c r="A31" s="361" t="s">
        <v>119</v>
      </c>
      <c r="B31" s="361"/>
      <c r="C31" s="85">
        <f>C3</f>
        <v>0</v>
      </c>
      <c r="D31" s="86">
        <f>G3</f>
        <v>0</v>
      </c>
      <c r="E31" s="93">
        <f>C31-D31</f>
        <v>0</v>
      </c>
    </row>
    <row r="32" spans="1:17">
      <c r="A32" s="362" t="s">
        <v>120</v>
      </c>
      <c r="B32" s="362"/>
      <c r="C32" s="85">
        <f>C30-C31</f>
        <v>62691000</v>
      </c>
      <c r="D32" s="86">
        <f>D30-D31</f>
        <v>62691000</v>
      </c>
      <c r="E32" s="93">
        <f>C32-D32</f>
        <v>0</v>
      </c>
      <c r="F32">
        <f>678+924-131+811+1261</f>
        <v>3543</v>
      </c>
      <c r="G32" s="103">
        <f>E32-F32</f>
        <v>-3543</v>
      </c>
    </row>
  </sheetData>
  <mergeCells count="11">
    <mergeCell ref="A30:B30"/>
    <mergeCell ref="A31:B31"/>
    <mergeCell ref="A32:B32"/>
    <mergeCell ref="A29:B29"/>
    <mergeCell ref="K1:N1"/>
    <mergeCell ref="K3:L3"/>
    <mergeCell ref="C1:F1"/>
    <mergeCell ref="G1:J1"/>
    <mergeCell ref="B3:B4"/>
    <mergeCell ref="C3:D3"/>
    <mergeCell ref="G3:H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7">
    <tabColor rgb="FF00B050"/>
    <pageSetUpPr fitToPage="1"/>
  </sheetPr>
  <dimension ref="A1:BY31"/>
  <sheetViews>
    <sheetView zoomScale="90" zoomScaleNormal="90" workbookViewId="0">
      <pane xSplit="2" ySplit="4" topLeftCell="Q5" activePane="bottomRight" state="frozen"/>
      <selection pane="topRight" activeCell="C1" sqref="C1"/>
      <selection pane="bottomLeft" activeCell="A5" sqref="A5"/>
      <selection pane="bottomRight" activeCell="V7" sqref="V7"/>
    </sheetView>
  </sheetViews>
  <sheetFormatPr defaultRowHeight="16.5"/>
  <cols>
    <col min="1" max="1" width="4.25" style="1" customWidth="1"/>
    <col min="2" max="2" width="6.5" style="1" customWidth="1"/>
    <col min="3" max="3" width="10.625" hidden="1" customWidth="1"/>
    <col min="4" max="4" width="13" hidden="1" customWidth="1"/>
    <col min="5" max="14" width="10.625" hidden="1" customWidth="1"/>
    <col min="15" max="15" width="15" hidden="1" customWidth="1"/>
    <col min="16" max="41" width="10.875" customWidth="1"/>
    <col min="42" max="42" width="15.625" customWidth="1"/>
    <col min="43" max="43" width="16.875" customWidth="1"/>
    <col min="44" max="44" width="10.5" customWidth="1"/>
    <col min="45" max="46" width="10.25" customWidth="1"/>
    <col min="47" max="47" width="14" customWidth="1"/>
    <col min="48" max="48" width="15.875" style="26" customWidth="1"/>
    <col min="49" max="49" width="18.5" style="26" customWidth="1"/>
  </cols>
  <sheetData>
    <row r="1" spans="1:77" ht="17.25" thickBot="1"/>
    <row r="2" spans="1:77" ht="36.75" customHeight="1">
      <c r="A2" s="411" t="s">
        <v>46</v>
      </c>
      <c r="B2" s="412"/>
      <c r="C2" s="417" t="s">
        <v>45</v>
      </c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419"/>
      <c r="P2" s="420" t="s">
        <v>61</v>
      </c>
      <c r="Q2" s="421"/>
      <c r="R2" s="421"/>
      <c r="S2" s="421"/>
      <c r="T2" s="421"/>
      <c r="U2" s="421"/>
      <c r="V2" s="421"/>
      <c r="W2" s="421"/>
      <c r="X2" s="421"/>
      <c r="Y2" s="421"/>
      <c r="Z2" s="421"/>
      <c r="AA2" s="421"/>
      <c r="AB2" s="421"/>
      <c r="AC2" s="421"/>
      <c r="AD2" s="421"/>
      <c r="AE2" s="421"/>
      <c r="AF2" s="421"/>
      <c r="AG2" s="421"/>
      <c r="AH2" s="421"/>
      <c r="AI2" s="421"/>
      <c r="AJ2" s="421"/>
      <c r="AK2" s="421"/>
      <c r="AL2" s="421"/>
      <c r="AM2" s="421"/>
      <c r="AN2" s="421"/>
      <c r="AO2" s="421"/>
      <c r="AP2" s="421"/>
      <c r="AQ2" s="394" t="s">
        <v>62</v>
      </c>
      <c r="AR2" s="397" t="s">
        <v>63</v>
      </c>
      <c r="AS2" s="398"/>
      <c r="AT2" s="398"/>
      <c r="AU2" s="399"/>
      <c r="AV2" s="376" t="s">
        <v>64</v>
      </c>
      <c r="AW2" s="377"/>
    </row>
    <row r="3" spans="1:77" ht="34.5" customHeight="1">
      <c r="A3" s="413"/>
      <c r="B3" s="414"/>
      <c r="C3" s="11" t="s">
        <v>21</v>
      </c>
      <c r="D3" s="5" t="s">
        <v>22</v>
      </c>
      <c r="E3" s="5" t="s">
        <v>23</v>
      </c>
      <c r="F3" s="5" t="s">
        <v>24</v>
      </c>
      <c r="G3" s="5" t="s">
        <v>25</v>
      </c>
      <c r="H3" s="5" t="s">
        <v>26</v>
      </c>
      <c r="I3" s="5" t="s">
        <v>27</v>
      </c>
      <c r="J3" s="5" t="s">
        <v>28</v>
      </c>
      <c r="K3" s="5" t="s">
        <v>29</v>
      </c>
      <c r="L3" s="5" t="s">
        <v>30</v>
      </c>
      <c r="M3" s="5" t="s">
        <v>31</v>
      </c>
      <c r="N3" s="5" t="s">
        <v>32</v>
      </c>
      <c r="O3" s="422" t="s">
        <v>44</v>
      </c>
      <c r="P3" s="423" t="s">
        <v>47</v>
      </c>
      <c r="Q3" s="410"/>
      <c r="R3" s="409" t="s">
        <v>49</v>
      </c>
      <c r="S3" s="410"/>
      <c r="T3" s="409" t="s">
        <v>50</v>
      </c>
      <c r="U3" s="410"/>
      <c r="V3" s="409" t="s">
        <v>51</v>
      </c>
      <c r="W3" s="410"/>
      <c r="X3" s="409" t="s">
        <v>52</v>
      </c>
      <c r="Y3" s="410"/>
      <c r="Z3" s="409" t="s">
        <v>53</v>
      </c>
      <c r="AA3" s="410"/>
      <c r="AB3" s="409" t="s">
        <v>54</v>
      </c>
      <c r="AC3" s="410"/>
      <c r="AD3" s="409" t="s">
        <v>55</v>
      </c>
      <c r="AE3" s="410"/>
      <c r="AF3" s="409" t="s">
        <v>56</v>
      </c>
      <c r="AG3" s="410"/>
      <c r="AH3" s="409" t="s">
        <v>57</v>
      </c>
      <c r="AI3" s="410"/>
      <c r="AJ3" s="409" t="s">
        <v>58</v>
      </c>
      <c r="AK3" s="410"/>
      <c r="AL3" s="409" t="s">
        <v>59</v>
      </c>
      <c r="AM3" s="410"/>
      <c r="AN3" s="387" t="s">
        <v>60</v>
      </c>
      <c r="AO3" s="388"/>
      <c r="AP3" s="389" t="s">
        <v>37</v>
      </c>
      <c r="AQ3" s="395"/>
      <c r="AR3" s="391" t="s">
        <v>33</v>
      </c>
      <c r="AS3" s="392" t="s">
        <v>34</v>
      </c>
      <c r="AT3" s="392"/>
      <c r="AU3" s="393" t="s">
        <v>43</v>
      </c>
      <c r="AV3" s="378"/>
      <c r="AW3" s="379"/>
    </row>
    <row r="4" spans="1:77" s="4" customFormat="1" ht="60" customHeight="1">
      <c r="A4" s="415"/>
      <c r="B4" s="416"/>
      <c r="C4" s="38" t="s">
        <v>40</v>
      </c>
      <c r="D4" s="105" t="s">
        <v>138</v>
      </c>
      <c r="E4" s="107" t="s">
        <v>40</v>
      </c>
      <c r="F4" s="107" t="s">
        <v>40</v>
      </c>
      <c r="G4" s="107" t="s">
        <v>40</v>
      </c>
      <c r="H4" s="107" t="s">
        <v>40</v>
      </c>
      <c r="I4" s="39" t="s">
        <v>139</v>
      </c>
      <c r="J4" s="107" t="s">
        <v>40</v>
      </c>
      <c r="K4" s="39" t="s">
        <v>140</v>
      </c>
      <c r="L4" s="39" t="s">
        <v>140</v>
      </c>
      <c r="M4" s="39"/>
      <c r="N4" s="39"/>
      <c r="O4" s="422"/>
      <c r="P4" s="9" t="s">
        <v>42</v>
      </c>
      <c r="Q4" s="8" t="s">
        <v>48</v>
      </c>
      <c r="R4" s="8" t="s">
        <v>42</v>
      </c>
      <c r="S4" s="8" t="s">
        <v>48</v>
      </c>
      <c r="T4" s="8" t="s">
        <v>42</v>
      </c>
      <c r="U4" s="8" t="s">
        <v>48</v>
      </c>
      <c r="V4" s="8" t="s">
        <v>42</v>
      </c>
      <c r="W4" s="8" t="s">
        <v>48</v>
      </c>
      <c r="X4" s="8" t="s">
        <v>42</v>
      </c>
      <c r="Y4" s="8" t="s">
        <v>48</v>
      </c>
      <c r="Z4" s="8" t="s">
        <v>42</v>
      </c>
      <c r="AA4" s="8" t="s">
        <v>48</v>
      </c>
      <c r="AB4" s="8" t="s">
        <v>42</v>
      </c>
      <c r="AC4" s="8" t="s">
        <v>48</v>
      </c>
      <c r="AD4" s="8" t="s">
        <v>42</v>
      </c>
      <c r="AE4" s="8" t="s">
        <v>48</v>
      </c>
      <c r="AF4" s="8" t="s">
        <v>42</v>
      </c>
      <c r="AG4" s="8" t="s">
        <v>48</v>
      </c>
      <c r="AH4" s="8" t="s">
        <v>42</v>
      </c>
      <c r="AI4" s="8" t="s">
        <v>48</v>
      </c>
      <c r="AJ4" s="8" t="s">
        <v>42</v>
      </c>
      <c r="AK4" s="8" t="s">
        <v>48</v>
      </c>
      <c r="AL4" s="8" t="s">
        <v>42</v>
      </c>
      <c r="AM4" s="8" t="s">
        <v>48</v>
      </c>
      <c r="AN4" s="8" t="s">
        <v>42</v>
      </c>
      <c r="AO4" s="8" t="s">
        <v>48</v>
      </c>
      <c r="AP4" s="390"/>
      <c r="AQ4" s="396"/>
      <c r="AR4" s="391"/>
      <c r="AS4" s="6" t="s">
        <v>35</v>
      </c>
      <c r="AT4" s="6" t="s">
        <v>36</v>
      </c>
      <c r="AU4" s="393"/>
      <c r="AV4" s="34" t="s">
        <v>67</v>
      </c>
      <c r="AW4" s="36" t="s">
        <v>68</v>
      </c>
    </row>
    <row r="5" spans="1:77" ht="30" customHeight="1">
      <c r="A5" s="7">
        <v>1</v>
      </c>
      <c r="B5" s="10" t="s">
        <v>0</v>
      </c>
      <c r="C5" s="13">
        <v>0</v>
      </c>
      <c r="D5" s="106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/>
      <c r="N5" s="14">
        <v>0</v>
      </c>
      <c r="O5" s="15">
        <f>SUM(C5:N5)</f>
        <v>0</v>
      </c>
      <c r="P5" s="108">
        <v>0</v>
      </c>
      <c r="Q5" s="16">
        <v>0</v>
      </c>
      <c r="R5" s="16">
        <v>0</v>
      </c>
      <c r="S5" s="16">
        <v>0</v>
      </c>
      <c r="T5" s="16">
        <v>0</v>
      </c>
      <c r="U5" s="16">
        <v>63</v>
      </c>
      <c r="V5" s="16">
        <v>0</v>
      </c>
      <c r="W5" s="16">
        <v>76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  <c r="AC5" s="16">
        <v>0</v>
      </c>
      <c r="AD5" s="16">
        <v>0</v>
      </c>
      <c r="AE5" s="16">
        <v>77</v>
      </c>
      <c r="AF5" s="16">
        <v>0</v>
      </c>
      <c r="AG5" s="16">
        <v>0</v>
      </c>
      <c r="AH5" s="16"/>
      <c r="AI5" s="16"/>
      <c r="AJ5" s="16"/>
      <c r="AK5" s="16"/>
      <c r="AL5" s="16"/>
      <c r="AM5" s="16">
        <v>0</v>
      </c>
      <c r="AN5" s="16">
        <f>P5+R5+T5+V5+X5+Z5+AB5+AD5+AF5+AH5+AJ5+AL5</f>
        <v>0</v>
      </c>
      <c r="AO5" s="16">
        <f>Q5+S5+U5+W5+Y5+AA5+AC5+AE5+AG6+AI5+AK5+AM5</f>
        <v>216</v>
      </c>
      <c r="AP5" s="17">
        <f>SUM(AN5:AO5)</f>
        <v>216</v>
      </c>
      <c r="AQ5" s="23">
        <f>O5-AP5</f>
        <v>-216</v>
      </c>
      <c r="AR5" s="24">
        <v>0</v>
      </c>
      <c r="AS5" s="18">
        <v>0</v>
      </c>
      <c r="AT5" s="18">
        <v>0</v>
      </c>
      <c r="AU5" s="25">
        <f>SUM(AR5:AT5)</f>
        <v>0</v>
      </c>
      <c r="AV5" s="35">
        <f>AQ5-AU5</f>
        <v>-216</v>
      </c>
      <c r="AW5" s="33">
        <f>AS5+AT5-AV5</f>
        <v>216</v>
      </c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</row>
    <row r="6" spans="1:77" ht="30" customHeight="1">
      <c r="A6" s="7">
        <v>2</v>
      </c>
      <c r="B6" s="10" t="s">
        <v>38</v>
      </c>
      <c r="C6" s="13">
        <v>0</v>
      </c>
      <c r="D6" s="106">
        <v>1075000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/>
      <c r="N6" s="14">
        <v>0</v>
      </c>
      <c r="O6" s="15">
        <f t="shared" ref="O6:O27" si="0">SUM(C6:N6)</f>
        <v>1075000</v>
      </c>
      <c r="P6" s="108">
        <v>0</v>
      </c>
      <c r="Q6" s="16">
        <v>0</v>
      </c>
      <c r="R6" s="16">
        <v>42500</v>
      </c>
      <c r="S6" s="16">
        <v>0</v>
      </c>
      <c r="T6" s="16">
        <v>0</v>
      </c>
      <c r="U6" s="16">
        <v>0</v>
      </c>
      <c r="V6" s="16">
        <v>250000</v>
      </c>
      <c r="W6" s="16">
        <v>0</v>
      </c>
      <c r="X6" s="16">
        <v>40000</v>
      </c>
      <c r="Y6" s="16">
        <v>0</v>
      </c>
      <c r="Z6" s="16">
        <v>223000</v>
      </c>
      <c r="AA6" s="16">
        <v>0</v>
      </c>
      <c r="AB6" s="16">
        <v>53000</v>
      </c>
      <c r="AC6" s="16">
        <v>0</v>
      </c>
      <c r="AD6" s="16">
        <v>0</v>
      </c>
      <c r="AE6" s="16">
        <v>0</v>
      </c>
      <c r="AF6" s="16">
        <v>236000</v>
      </c>
      <c r="AG6" s="16">
        <v>0</v>
      </c>
      <c r="AH6" s="16"/>
      <c r="AI6" s="16"/>
      <c r="AJ6" s="16"/>
      <c r="AK6" s="16"/>
      <c r="AL6" s="31"/>
      <c r="AM6" s="16">
        <v>0</v>
      </c>
      <c r="AN6" s="16">
        <f>P6+R6+T6+V6+X6+Z6+AB6+AD6+AF6+AH6+AJ6+AL6</f>
        <v>844500</v>
      </c>
      <c r="AO6" s="16">
        <f t="shared" ref="AO6:AO27" si="1">Q6+S6+U6+W6+Y6+AA6+AC6+AE6+AG7+AI6+AK6+AM6</f>
        <v>0</v>
      </c>
      <c r="AP6" s="17">
        <f>SUM(AN6:AO6)</f>
        <v>844500</v>
      </c>
      <c r="AQ6" s="23">
        <f>O6-AP6</f>
        <v>230500</v>
      </c>
      <c r="AR6" s="24">
        <v>0</v>
      </c>
      <c r="AS6" s="32">
        <v>0</v>
      </c>
      <c r="AT6" s="18">
        <v>0</v>
      </c>
      <c r="AU6" s="25">
        <f t="shared" ref="AU6:AU28" si="2">SUM(AR6:AT6)</f>
        <v>0</v>
      </c>
      <c r="AV6" s="35">
        <f t="shared" ref="AV6:AV27" si="3">AQ6-AU6</f>
        <v>230500</v>
      </c>
      <c r="AW6" s="33">
        <f t="shared" ref="AW6:AW26" si="4">AS6+AT6-AV6</f>
        <v>-230500</v>
      </c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</row>
    <row r="7" spans="1:77" ht="30" customHeight="1">
      <c r="A7" s="7">
        <v>3</v>
      </c>
      <c r="B7" s="10" t="s">
        <v>1</v>
      </c>
      <c r="C7" s="13">
        <v>0</v>
      </c>
      <c r="D7" s="106">
        <v>438750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/>
      <c r="N7" s="14">
        <v>0</v>
      </c>
      <c r="O7" s="15">
        <f t="shared" si="0"/>
        <v>438750</v>
      </c>
      <c r="P7" s="108">
        <v>0</v>
      </c>
      <c r="Q7" s="16">
        <v>0</v>
      </c>
      <c r="R7" s="16">
        <v>4500</v>
      </c>
      <c r="S7" s="16">
        <v>0</v>
      </c>
      <c r="T7" s="16">
        <v>3000</v>
      </c>
      <c r="U7" s="16">
        <v>0</v>
      </c>
      <c r="V7" s="16">
        <v>20600</v>
      </c>
      <c r="W7" s="16">
        <v>0</v>
      </c>
      <c r="X7" s="16">
        <v>113200</v>
      </c>
      <c r="Y7" s="16">
        <v>0</v>
      </c>
      <c r="Z7" s="16">
        <v>86000</v>
      </c>
      <c r="AA7" s="16">
        <v>0</v>
      </c>
      <c r="AB7" s="16">
        <v>21000</v>
      </c>
      <c r="AC7" s="16">
        <v>0</v>
      </c>
      <c r="AD7" s="16">
        <v>100000</v>
      </c>
      <c r="AE7" s="16">
        <v>0</v>
      </c>
      <c r="AF7" s="16">
        <v>30000</v>
      </c>
      <c r="AG7" s="16">
        <v>0</v>
      </c>
      <c r="AH7" s="16"/>
      <c r="AI7" s="16"/>
      <c r="AJ7" s="16"/>
      <c r="AK7" s="16"/>
      <c r="AL7" s="31"/>
      <c r="AM7" s="16"/>
      <c r="AN7" s="16">
        <f t="shared" ref="AN7:AN27" si="5">P7+R7+T7+V7+X7+Z7+AB7+AD7+AF7+AH7+AJ7+AL7</f>
        <v>378300</v>
      </c>
      <c r="AO7" s="16">
        <f t="shared" si="1"/>
        <v>0</v>
      </c>
      <c r="AP7" s="17">
        <f t="shared" ref="AP7:AP27" si="6">SUM(AN7:AO7)</f>
        <v>378300</v>
      </c>
      <c r="AQ7" s="23">
        <f t="shared" ref="AQ7:AQ26" si="7">O7-AP7</f>
        <v>60450</v>
      </c>
      <c r="AR7" s="24">
        <v>0</v>
      </c>
      <c r="AS7" s="18">
        <v>0</v>
      </c>
      <c r="AT7" s="18">
        <v>0</v>
      </c>
      <c r="AU7" s="25">
        <f t="shared" si="2"/>
        <v>0</v>
      </c>
      <c r="AV7" s="35">
        <f t="shared" si="3"/>
        <v>60450</v>
      </c>
      <c r="AW7" s="33">
        <f t="shared" si="4"/>
        <v>-60450</v>
      </c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</row>
    <row r="8" spans="1:77" ht="30" customHeight="1">
      <c r="A8" s="7">
        <v>4</v>
      </c>
      <c r="B8" s="10" t="s">
        <v>2</v>
      </c>
      <c r="C8" s="13">
        <v>0</v>
      </c>
      <c r="D8" s="106">
        <v>1958000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/>
      <c r="N8" s="14">
        <v>0</v>
      </c>
      <c r="O8" s="15">
        <f t="shared" si="0"/>
        <v>1958000</v>
      </c>
      <c r="P8" s="108">
        <v>0</v>
      </c>
      <c r="Q8" s="16">
        <v>0</v>
      </c>
      <c r="R8" s="16">
        <v>0</v>
      </c>
      <c r="S8" s="16">
        <v>0</v>
      </c>
      <c r="T8" s="16">
        <v>87600</v>
      </c>
      <c r="U8" s="16">
        <v>0</v>
      </c>
      <c r="V8" s="16">
        <v>909500</v>
      </c>
      <c r="W8" s="16">
        <v>0</v>
      </c>
      <c r="X8" s="16">
        <v>24000</v>
      </c>
      <c r="Y8" s="16">
        <v>0</v>
      </c>
      <c r="Z8" s="16">
        <v>56250</v>
      </c>
      <c r="AA8" s="16">
        <v>0</v>
      </c>
      <c r="AB8" s="16">
        <v>16000</v>
      </c>
      <c r="AC8" s="16">
        <v>0</v>
      </c>
      <c r="AD8" s="16">
        <v>575500</v>
      </c>
      <c r="AE8" s="16">
        <v>0</v>
      </c>
      <c r="AF8" s="16">
        <v>15750</v>
      </c>
      <c r="AG8" s="16">
        <v>0</v>
      </c>
      <c r="AH8" s="16"/>
      <c r="AI8" s="16"/>
      <c r="AJ8" s="16"/>
      <c r="AK8" s="16"/>
      <c r="AL8" s="31"/>
      <c r="AM8" s="16"/>
      <c r="AN8" s="16">
        <f t="shared" si="5"/>
        <v>1684600</v>
      </c>
      <c r="AO8" s="16">
        <f t="shared" si="1"/>
        <v>0</v>
      </c>
      <c r="AP8" s="17">
        <f t="shared" si="6"/>
        <v>1684600</v>
      </c>
      <c r="AQ8" s="23">
        <f t="shared" si="7"/>
        <v>273400</v>
      </c>
      <c r="AR8" s="24">
        <v>0</v>
      </c>
      <c r="AS8" s="18">
        <v>0</v>
      </c>
      <c r="AT8" s="18">
        <v>0</v>
      </c>
      <c r="AU8" s="25">
        <f t="shared" si="2"/>
        <v>0</v>
      </c>
      <c r="AV8" s="35">
        <f t="shared" si="3"/>
        <v>273400</v>
      </c>
      <c r="AW8" s="33">
        <f t="shared" si="4"/>
        <v>-273400</v>
      </c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</row>
    <row r="9" spans="1:77" ht="30" customHeight="1">
      <c r="A9" s="7">
        <v>5</v>
      </c>
      <c r="B9" s="10" t="s">
        <v>3</v>
      </c>
      <c r="C9" s="13">
        <v>0</v>
      </c>
      <c r="D9" s="106">
        <v>1901600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/>
      <c r="N9" s="14">
        <v>0</v>
      </c>
      <c r="O9" s="15">
        <f t="shared" si="0"/>
        <v>1901600</v>
      </c>
      <c r="P9" s="108">
        <v>0</v>
      </c>
      <c r="Q9" s="16">
        <v>0</v>
      </c>
      <c r="R9" s="16">
        <v>145000</v>
      </c>
      <c r="S9" s="16">
        <v>0</v>
      </c>
      <c r="T9" s="16">
        <v>54000</v>
      </c>
      <c r="U9" s="16">
        <v>0</v>
      </c>
      <c r="V9" s="16">
        <v>0</v>
      </c>
      <c r="W9" s="16">
        <v>0</v>
      </c>
      <c r="X9" s="16">
        <v>148800</v>
      </c>
      <c r="Y9" s="16">
        <v>0</v>
      </c>
      <c r="Z9" s="16">
        <v>41000</v>
      </c>
      <c r="AA9" s="16">
        <v>0</v>
      </c>
      <c r="AB9" s="16">
        <v>261200</v>
      </c>
      <c r="AC9" s="16">
        <v>0</v>
      </c>
      <c r="AD9" s="16">
        <v>123900</v>
      </c>
      <c r="AE9" s="16">
        <v>0</v>
      </c>
      <c r="AF9" s="16">
        <v>217600</v>
      </c>
      <c r="AG9" s="16">
        <v>0</v>
      </c>
      <c r="AH9" s="16"/>
      <c r="AI9" s="16"/>
      <c r="AJ9" s="16"/>
      <c r="AK9" s="16"/>
      <c r="AL9" s="31"/>
      <c r="AM9" s="16"/>
      <c r="AN9" s="16">
        <f t="shared" si="5"/>
        <v>991500</v>
      </c>
      <c r="AO9" s="16">
        <f t="shared" si="1"/>
        <v>0</v>
      </c>
      <c r="AP9" s="17">
        <f t="shared" si="6"/>
        <v>991500</v>
      </c>
      <c r="AQ9" s="23">
        <f t="shared" si="7"/>
        <v>910100</v>
      </c>
      <c r="AR9" s="24">
        <v>0</v>
      </c>
      <c r="AS9" s="32">
        <v>0</v>
      </c>
      <c r="AT9" s="18">
        <v>0</v>
      </c>
      <c r="AU9" s="25">
        <f t="shared" si="2"/>
        <v>0</v>
      </c>
      <c r="AV9" s="35">
        <f t="shared" si="3"/>
        <v>910100</v>
      </c>
      <c r="AW9" s="33">
        <f t="shared" si="4"/>
        <v>-910100</v>
      </c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</row>
    <row r="10" spans="1:77" ht="30" customHeight="1">
      <c r="A10" s="7">
        <v>6</v>
      </c>
      <c r="B10" s="12" t="s">
        <v>4</v>
      </c>
      <c r="C10" s="13">
        <v>0</v>
      </c>
      <c r="D10" s="106">
        <v>80000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/>
      <c r="N10" s="14">
        <v>0</v>
      </c>
      <c r="O10" s="15">
        <f t="shared" si="0"/>
        <v>80000</v>
      </c>
      <c r="P10" s="108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/>
      <c r="AI10" s="16"/>
      <c r="AJ10" s="16"/>
      <c r="AK10" s="16"/>
      <c r="AL10" s="31"/>
      <c r="AM10" s="16"/>
      <c r="AN10" s="16">
        <f t="shared" si="5"/>
        <v>0</v>
      </c>
      <c r="AO10" s="16">
        <f t="shared" si="1"/>
        <v>0</v>
      </c>
      <c r="AP10" s="17">
        <f t="shared" si="6"/>
        <v>0</v>
      </c>
      <c r="AQ10" s="23">
        <f t="shared" si="7"/>
        <v>80000</v>
      </c>
      <c r="AR10" s="24">
        <v>0</v>
      </c>
      <c r="AS10" s="18">
        <v>0</v>
      </c>
      <c r="AT10" s="18">
        <v>0</v>
      </c>
      <c r="AU10" s="25">
        <f t="shared" si="2"/>
        <v>0</v>
      </c>
      <c r="AV10" s="35">
        <f t="shared" si="3"/>
        <v>80000</v>
      </c>
      <c r="AW10" s="33">
        <f t="shared" si="4"/>
        <v>-80000</v>
      </c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</row>
    <row r="11" spans="1:77" ht="30" customHeight="1">
      <c r="A11" s="7">
        <v>7</v>
      </c>
      <c r="B11" s="10" t="s">
        <v>5</v>
      </c>
      <c r="C11" s="13">
        <v>0</v>
      </c>
      <c r="D11" s="106">
        <v>987900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/>
      <c r="N11" s="14">
        <v>0</v>
      </c>
      <c r="O11" s="15">
        <f t="shared" si="0"/>
        <v>987900</v>
      </c>
      <c r="P11" s="108">
        <v>0</v>
      </c>
      <c r="Q11" s="16">
        <v>0</v>
      </c>
      <c r="R11" s="16">
        <v>58063</v>
      </c>
      <c r="S11" s="16">
        <v>0</v>
      </c>
      <c r="T11" s="16">
        <v>130900</v>
      </c>
      <c r="U11" s="16">
        <v>0</v>
      </c>
      <c r="V11" s="16">
        <v>24800</v>
      </c>
      <c r="W11" s="16">
        <v>0</v>
      </c>
      <c r="X11" s="16">
        <v>34400</v>
      </c>
      <c r="Y11" s="16">
        <v>0</v>
      </c>
      <c r="Z11" s="16">
        <v>90900</v>
      </c>
      <c r="AA11" s="16">
        <v>0</v>
      </c>
      <c r="AB11" s="16">
        <v>105000</v>
      </c>
      <c r="AC11" s="16">
        <v>0</v>
      </c>
      <c r="AD11" s="16">
        <v>55490</v>
      </c>
      <c r="AE11" s="16">
        <v>0</v>
      </c>
      <c r="AF11" s="16">
        <v>10000</v>
      </c>
      <c r="AG11" s="16">
        <v>0</v>
      </c>
      <c r="AH11" s="16"/>
      <c r="AI11" s="16"/>
      <c r="AJ11" s="16"/>
      <c r="AK11" s="16"/>
      <c r="AL11" s="31"/>
      <c r="AM11" s="16"/>
      <c r="AN11" s="16">
        <f t="shared" si="5"/>
        <v>509553</v>
      </c>
      <c r="AO11" s="16">
        <f t="shared" si="1"/>
        <v>0</v>
      </c>
      <c r="AP11" s="17">
        <f t="shared" si="6"/>
        <v>509553</v>
      </c>
      <c r="AQ11" s="23">
        <f t="shared" si="7"/>
        <v>478347</v>
      </c>
      <c r="AR11" s="24">
        <v>0</v>
      </c>
      <c r="AS11" s="18">
        <v>0</v>
      </c>
      <c r="AT11" s="18">
        <v>0</v>
      </c>
      <c r="AU11" s="25">
        <f t="shared" si="2"/>
        <v>0</v>
      </c>
      <c r="AV11" s="35">
        <f t="shared" si="3"/>
        <v>478347</v>
      </c>
      <c r="AW11" s="33">
        <f t="shared" si="4"/>
        <v>-478347</v>
      </c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</row>
    <row r="12" spans="1:77" ht="30" customHeight="1">
      <c r="A12" s="7">
        <v>8</v>
      </c>
      <c r="B12" s="10" t="s">
        <v>39</v>
      </c>
      <c r="C12" s="13">
        <v>0</v>
      </c>
      <c r="D12" s="106">
        <v>1827500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/>
      <c r="N12" s="14">
        <v>0</v>
      </c>
      <c r="O12" s="15">
        <f t="shared" si="0"/>
        <v>1827500</v>
      </c>
      <c r="P12" s="108">
        <v>0</v>
      </c>
      <c r="Q12" s="16">
        <v>0</v>
      </c>
      <c r="R12" s="16">
        <v>0</v>
      </c>
      <c r="S12" s="16">
        <v>0</v>
      </c>
      <c r="T12" s="16">
        <v>170000</v>
      </c>
      <c r="U12" s="16">
        <v>0</v>
      </c>
      <c r="V12" s="16">
        <v>248000</v>
      </c>
      <c r="W12" s="16">
        <v>0</v>
      </c>
      <c r="X12" s="16">
        <v>536500</v>
      </c>
      <c r="Y12" s="16">
        <v>0</v>
      </c>
      <c r="Z12" s="16">
        <v>71000</v>
      </c>
      <c r="AA12" s="16">
        <v>0</v>
      </c>
      <c r="AB12" s="16">
        <v>129000</v>
      </c>
      <c r="AC12" s="16">
        <v>0</v>
      </c>
      <c r="AD12" s="16">
        <v>146505</v>
      </c>
      <c r="AE12" s="16">
        <v>0</v>
      </c>
      <c r="AF12" s="16">
        <v>144295</v>
      </c>
      <c r="AG12" s="16">
        <v>0</v>
      </c>
      <c r="AH12" s="16"/>
      <c r="AI12" s="16"/>
      <c r="AJ12" s="16"/>
      <c r="AK12" s="16"/>
      <c r="AL12" s="31"/>
      <c r="AM12" s="16"/>
      <c r="AN12" s="16">
        <f t="shared" si="5"/>
        <v>1445300</v>
      </c>
      <c r="AO12" s="16">
        <f t="shared" si="1"/>
        <v>0</v>
      </c>
      <c r="AP12" s="17">
        <f t="shared" si="6"/>
        <v>1445300</v>
      </c>
      <c r="AQ12" s="23">
        <f t="shared" si="7"/>
        <v>382200</v>
      </c>
      <c r="AR12" s="24">
        <v>0</v>
      </c>
      <c r="AS12" s="18">
        <v>0</v>
      </c>
      <c r="AT12" s="18">
        <v>0</v>
      </c>
      <c r="AU12" s="25">
        <f t="shared" si="2"/>
        <v>0</v>
      </c>
      <c r="AV12" s="35">
        <f t="shared" si="3"/>
        <v>382200</v>
      </c>
      <c r="AW12" s="33">
        <f t="shared" si="4"/>
        <v>-382200</v>
      </c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</row>
    <row r="13" spans="1:77" ht="30" customHeight="1">
      <c r="A13" s="7">
        <v>9</v>
      </c>
      <c r="B13" s="10" t="s">
        <v>6</v>
      </c>
      <c r="C13" s="13">
        <v>0</v>
      </c>
      <c r="D13" s="106">
        <v>280000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150000</v>
      </c>
      <c r="L13" s="14">
        <v>0</v>
      </c>
      <c r="M13" s="14"/>
      <c r="N13" s="14">
        <v>0</v>
      </c>
      <c r="O13" s="15">
        <f t="shared" si="0"/>
        <v>430000</v>
      </c>
      <c r="P13" s="108">
        <v>0</v>
      </c>
      <c r="Q13" s="16">
        <v>0</v>
      </c>
      <c r="R13" s="16">
        <v>0</v>
      </c>
      <c r="S13" s="16">
        <v>0</v>
      </c>
      <c r="T13" s="16">
        <v>50000</v>
      </c>
      <c r="U13" s="16">
        <v>0</v>
      </c>
      <c r="V13" s="16">
        <v>33300</v>
      </c>
      <c r="W13" s="16">
        <v>0</v>
      </c>
      <c r="X13" s="16">
        <v>50000</v>
      </c>
      <c r="Y13" s="16">
        <v>0</v>
      </c>
      <c r="Z13" s="16">
        <v>15000</v>
      </c>
      <c r="AA13" s="16">
        <v>0</v>
      </c>
      <c r="AB13" s="16">
        <v>45000</v>
      </c>
      <c r="AC13" s="16">
        <v>0</v>
      </c>
      <c r="AD13" s="16">
        <v>15000</v>
      </c>
      <c r="AE13" s="16">
        <v>0</v>
      </c>
      <c r="AF13" s="16">
        <v>202500</v>
      </c>
      <c r="AG13" s="16">
        <v>0</v>
      </c>
      <c r="AH13" s="16"/>
      <c r="AI13" s="16"/>
      <c r="AJ13" s="16"/>
      <c r="AK13" s="16"/>
      <c r="AL13" s="31"/>
      <c r="AM13" s="16"/>
      <c r="AN13" s="16">
        <f t="shared" si="5"/>
        <v>410800</v>
      </c>
      <c r="AO13" s="16">
        <f t="shared" si="1"/>
        <v>0</v>
      </c>
      <c r="AP13" s="17">
        <f t="shared" si="6"/>
        <v>410800</v>
      </c>
      <c r="AQ13" s="23">
        <f t="shared" si="7"/>
        <v>19200</v>
      </c>
      <c r="AR13" s="24">
        <v>0</v>
      </c>
      <c r="AS13" s="18">
        <v>0</v>
      </c>
      <c r="AT13" s="18">
        <v>0</v>
      </c>
      <c r="AU13" s="25">
        <f t="shared" si="2"/>
        <v>0</v>
      </c>
      <c r="AV13" s="35">
        <f t="shared" si="3"/>
        <v>19200</v>
      </c>
      <c r="AW13" s="33">
        <f t="shared" si="4"/>
        <v>-19200</v>
      </c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</row>
    <row r="14" spans="1:77" ht="30" customHeight="1">
      <c r="A14" s="7">
        <v>10</v>
      </c>
      <c r="B14" s="10" t="s">
        <v>7</v>
      </c>
      <c r="C14" s="13">
        <v>0</v>
      </c>
      <c r="D14" s="106">
        <v>300000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/>
      <c r="N14" s="14">
        <v>0</v>
      </c>
      <c r="O14" s="15">
        <f t="shared" si="0"/>
        <v>300000</v>
      </c>
      <c r="P14" s="108">
        <v>0</v>
      </c>
      <c r="Q14" s="16">
        <v>0</v>
      </c>
      <c r="R14" s="16">
        <v>0</v>
      </c>
      <c r="S14" s="16">
        <v>0</v>
      </c>
      <c r="T14" s="16">
        <v>81000</v>
      </c>
      <c r="U14" s="16">
        <v>0</v>
      </c>
      <c r="V14" s="16">
        <v>45000</v>
      </c>
      <c r="W14" s="16">
        <v>0</v>
      </c>
      <c r="X14" s="16">
        <v>5000</v>
      </c>
      <c r="Y14" s="16">
        <v>0</v>
      </c>
      <c r="Z14" s="16">
        <v>0</v>
      </c>
      <c r="AA14" s="16">
        <v>0</v>
      </c>
      <c r="AB14" s="16">
        <v>51500</v>
      </c>
      <c r="AC14" s="16">
        <v>0</v>
      </c>
      <c r="AD14" s="16">
        <v>39500</v>
      </c>
      <c r="AE14" s="16">
        <v>0</v>
      </c>
      <c r="AF14" s="16">
        <v>38000</v>
      </c>
      <c r="AG14" s="16">
        <v>0</v>
      </c>
      <c r="AH14" s="16"/>
      <c r="AI14" s="16"/>
      <c r="AJ14" s="16"/>
      <c r="AK14" s="16"/>
      <c r="AL14" s="31"/>
      <c r="AM14" s="16"/>
      <c r="AN14" s="16">
        <f t="shared" si="5"/>
        <v>260000</v>
      </c>
      <c r="AO14" s="16">
        <f t="shared" si="1"/>
        <v>0</v>
      </c>
      <c r="AP14" s="17">
        <f t="shared" si="6"/>
        <v>260000</v>
      </c>
      <c r="AQ14" s="23">
        <f t="shared" si="7"/>
        <v>40000</v>
      </c>
      <c r="AR14" s="24">
        <v>0</v>
      </c>
      <c r="AS14" s="18">
        <v>0</v>
      </c>
      <c r="AT14" s="18">
        <v>0</v>
      </c>
      <c r="AU14" s="25">
        <f t="shared" si="2"/>
        <v>0</v>
      </c>
      <c r="AV14" s="35">
        <f t="shared" si="3"/>
        <v>40000</v>
      </c>
      <c r="AW14" s="33">
        <f t="shared" si="4"/>
        <v>-40000</v>
      </c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</row>
    <row r="15" spans="1:77" ht="30" customHeight="1">
      <c r="A15" s="7">
        <v>11</v>
      </c>
      <c r="B15" s="10" t="s">
        <v>8</v>
      </c>
      <c r="C15" s="13">
        <v>0</v>
      </c>
      <c r="D15" s="106">
        <v>483000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177000</v>
      </c>
      <c r="M15" s="14"/>
      <c r="N15" s="14">
        <v>0</v>
      </c>
      <c r="O15" s="15">
        <f t="shared" si="0"/>
        <v>660000</v>
      </c>
      <c r="P15" s="108">
        <v>0</v>
      </c>
      <c r="Q15" s="16">
        <v>0</v>
      </c>
      <c r="R15" s="16">
        <v>50000</v>
      </c>
      <c r="S15" s="16">
        <v>0</v>
      </c>
      <c r="T15" s="16">
        <v>25000</v>
      </c>
      <c r="U15" s="16">
        <v>0</v>
      </c>
      <c r="V15" s="16">
        <v>98563</v>
      </c>
      <c r="W15" s="16">
        <v>0</v>
      </c>
      <c r="X15" s="16">
        <v>18972</v>
      </c>
      <c r="Y15" s="16">
        <v>0</v>
      </c>
      <c r="Z15" s="16">
        <v>92261</v>
      </c>
      <c r="AA15" s="16">
        <v>0</v>
      </c>
      <c r="AB15" s="16">
        <v>52500</v>
      </c>
      <c r="AC15" s="16">
        <v>0</v>
      </c>
      <c r="AD15" s="16">
        <v>51500</v>
      </c>
      <c r="AE15" s="16">
        <v>0</v>
      </c>
      <c r="AF15" s="16">
        <v>86000</v>
      </c>
      <c r="AG15" s="16">
        <v>0</v>
      </c>
      <c r="AH15" s="16"/>
      <c r="AI15" s="16"/>
      <c r="AJ15" s="16"/>
      <c r="AK15" s="16"/>
      <c r="AL15" s="31"/>
      <c r="AM15" s="16"/>
      <c r="AN15" s="16">
        <f t="shared" si="5"/>
        <v>474796</v>
      </c>
      <c r="AO15" s="16">
        <f t="shared" si="1"/>
        <v>0</v>
      </c>
      <c r="AP15" s="17">
        <f t="shared" si="6"/>
        <v>474796</v>
      </c>
      <c r="AQ15" s="23">
        <f t="shared" si="7"/>
        <v>185204</v>
      </c>
      <c r="AR15" s="24">
        <v>0</v>
      </c>
      <c r="AS15" s="18">
        <v>0</v>
      </c>
      <c r="AT15" s="18">
        <v>0</v>
      </c>
      <c r="AU15" s="25">
        <f t="shared" si="2"/>
        <v>0</v>
      </c>
      <c r="AV15" s="35">
        <f t="shared" si="3"/>
        <v>185204</v>
      </c>
      <c r="AW15" s="33">
        <f t="shared" si="4"/>
        <v>-185204</v>
      </c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</row>
    <row r="16" spans="1:77" ht="30" customHeight="1">
      <c r="A16" s="7">
        <v>12</v>
      </c>
      <c r="B16" s="10" t="s">
        <v>9</v>
      </c>
      <c r="C16" s="13">
        <v>0</v>
      </c>
      <c r="D16" s="106">
        <v>710000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/>
      <c r="N16" s="14">
        <v>0</v>
      </c>
      <c r="O16" s="15">
        <f t="shared" si="0"/>
        <v>710000</v>
      </c>
      <c r="P16" s="108">
        <v>0</v>
      </c>
      <c r="Q16" s="16">
        <v>0</v>
      </c>
      <c r="R16" s="16">
        <v>33000</v>
      </c>
      <c r="S16" s="16">
        <v>0</v>
      </c>
      <c r="T16" s="16">
        <v>27000</v>
      </c>
      <c r="U16" s="16">
        <v>0</v>
      </c>
      <c r="V16" s="16">
        <v>51000</v>
      </c>
      <c r="W16" s="16">
        <v>0</v>
      </c>
      <c r="X16" s="16">
        <v>90000</v>
      </c>
      <c r="Y16" s="16">
        <v>0</v>
      </c>
      <c r="Z16" s="16">
        <v>22000</v>
      </c>
      <c r="AA16" s="16">
        <v>0</v>
      </c>
      <c r="AB16" s="16">
        <v>93000</v>
      </c>
      <c r="AC16" s="16">
        <v>0</v>
      </c>
      <c r="AD16" s="16">
        <v>91000</v>
      </c>
      <c r="AE16" s="16">
        <v>0</v>
      </c>
      <c r="AF16" s="16">
        <v>28000</v>
      </c>
      <c r="AG16" s="16">
        <v>0</v>
      </c>
      <c r="AH16" s="16"/>
      <c r="AI16" s="16"/>
      <c r="AJ16" s="16"/>
      <c r="AK16" s="16"/>
      <c r="AL16" s="31"/>
      <c r="AM16" s="16"/>
      <c r="AN16" s="16">
        <f t="shared" si="5"/>
        <v>435000</v>
      </c>
      <c r="AO16" s="16">
        <f t="shared" si="1"/>
        <v>0</v>
      </c>
      <c r="AP16" s="17">
        <f t="shared" si="6"/>
        <v>435000</v>
      </c>
      <c r="AQ16" s="23">
        <f t="shared" si="7"/>
        <v>275000</v>
      </c>
      <c r="AR16" s="24">
        <v>0</v>
      </c>
      <c r="AS16" s="18">
        <v>0</v>
      </c>
      <c r="AT16" s="18">
        <v>0</v>
      </c>
      <c r="AU16" s="25">
        <f t="shared" si="2"/>
        <v>0</v>
      </c>
      <c r="AV16" s="35">
        <f t="shared" si="3"/>
        <v>275000</v>
      </c>
      <c r="AW16" s="33">
        <f t="shared" si="4"/>
        <v>-275000</v>
      </c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</row>
    <row r="17" spans="1:77" ht="30" customHeight="1">
      <c r="A17" s="7">
        <v>13</v>
      </c>
      <c r="B17" s="10" t="s">
        <v>10</v>
      </c>
      <c r="C17" s="13">
        <v>0</v>
      </c>
      <c r="D17" s="106">
        <v>608000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/>
      <c r="N17" s="14">
        <v>0</v>
      </c>
      <c r="O17" s="15">
        <f t="shared" si="0"/>
        <v>608000</v>
      </c>
      <c r="P17" s="108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57000</v>
      </c>
      <c r="AC17" s="16">
        <v>0</v>
      </c>
      <c r="AD17" s="16">
        <v>326080</v>
      </c>
      <c r="AE17" s="16">
        <v>0</v>
      </c>
      <c r="AF17" s="16">
        <v>0</v>
      </c>
      <c r="AG17" s="16">
        <v>0</v>
      </c>
      <c r="AH17" s="16"/>
      <c r="AI17" s="16"/>
      <c r="AJ17" s="16"/>
      <c r="AK17" s="16"/>
      <c r="AL17" s="31"/>
      <c r="AM17" s="16"/>
      <c r="AN17" s="16">
        <f t="shared" si="5"/>
        <v>383080</v>
      </c>
      <c r="AO17" s="16">
        <f t="shared" si="1"/>
        <v>0</v>
      </c>
      <c r="AP17" s="17">
        <f t="shared" si="6"/>
        <v>383080</v>
      </c>
      <c r="AQ17" s="23">
        <f t="shared" si="7"/>
        <v>224920</v>
      </c>
      <c r="AR17" s="24">
        <v>0</v>
      </c>
      <c r="AS17" s="32">
        <v>0</v>
      </c>
      <c r="AT17" s="18">
        <v>0</v>
      </c>
      <c r="AU17" s="25">
        <f t="shared" si="2"/>
        <v>0</v>
      </c>
      <c r="AV17" s="35">
        <f t="shared" si="3"/>
        <v>224920</v>
      </c>
      <c r="AW17" s="33">
        <f t="shared" si="4"/>
        <v>-224920</v>
      </c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</row>
    <row r="18" spans="1:77" ht="30" customHeight="1">
      <c r="A18" s="7">
        <v>14</v>
      </c>
      <c r="B18" s="10" t="s">
        <v>11</v>
      </c>
      <c r="C18" s="13">
        <v>0</v>
      </c>
      <c r="D18" s="106">
        <v>794000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/>
      <c r="N18" s="14">
        <v>0</v>
      </c>
      <c r="O18" s="15">
        <f t="shared" si="0"/>
        <v>794000</v>
      </c>
      <c r="P18" s="108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80000</v>
      </c>
      <c r="Y18" s="16">
        <v>0</v>
      </c>
      <c r="Z18" s="16">
        <v>80000</v>
      </c>
      <c r="AA18" s="16">
        <v>0</v>
      </c>
      <c r="AB18" s="16">
        <v>138115</v>
      </c>
      <c r="AC18" s="16">
        <v>0</v>
      </c>
      <c r="AD18" s="16">
        <v>75000</v>
      </c>
      <c r="AE18" s="16">
        <v>0</v>
      </c>
      <c r="AF18" s="16">
        <v>48000</v>
      </c>
      <c r="AG18" s="16">
        <v>0</v>
      </c>
      <c r="AH18" s="16"/>
      <c r="AI18" s="16"/>
      <c r="AJ18" s="16"/>
      <c r="AK18" s="16"/>
      <c r="AL18" s="31"/>
      <c r="AM18" s="16"/>
      <c r="AN18" s="16">
        <f t="shared" si="5"/>
        <v>421115</v>
      </c>
      <c r="AO18" s="16">
        <f t="shared" si="1"/>
        <v>0</v>
      </c>
      <c r="AP18" s="17">
        <f t="shared" si="6"/>
        <v>421115</v>
      </c>
      <c r="AQ18" s="23">
        <f t="shared" si="7"/>
        <v>372885</v>
      </c>
      <c r="AR18" s="24">
        <v>0</v>
      </c>
      <c r="AS18" s="18">
        <v>0</v>
      </c>
      <c r="AT18" s="18">
        <v>0</v>
      </c>
      <c r="AU18" s="25">
        <f t="shared" si="2"/>
        <v>0</v>
      </c>
      <c r="AV18" s="35">
        <f t="shared" si="3"/>
        <v>372885</v>
      </c>
      <c r="AW18" s="33">
        <f t="shared" si="4"/>
        <v>-372885</v>
      </c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</row>
    <row r="19" spans="1:77" ht="30" customHeight="1">
      <c r="A19" s="7">
        <v>15</v>
      </c>
      <c r="B19" s="10" t="s">
        <v>12</v>
      </c>
      <c r="C19" s="13">
        <v>0</v>
      </c>
      <c r="D19" s="106">
        <v>888000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/>
      <c r="N19" s="14">
        <v>0</v>
      </c>
      <c r="O19" s="15">
        <f t="shared" si="0"/>
        <v>888000</v>
      </c>
      <c r="P19" s="108">
        <v>0</v>
      </c>
      <c r="Q19" s="16">
        <v>0</v>
      </c>
      <c r="R19" s="16">
        <v>0</v>
      </c>
      <c r="S19" s="16">
        <v>0</v>
      </c>
      <c r="T19" s="16">
        <v>100000</v>
      </c>
      <c r="U19" s="16">
        <v>0</v>
      </c>
      <c r="V19" s="16">
        <v>0</v>
      </c>
      <c r="W19" s="16">
        <v>0</v>
      </c>
      <c r="X19" s="16">
        <v>109000</v>
      </c>
      <c r="Y19" s="16">
        <v>0</v>
      </c>
      <c r="Z19" s="16">
        <v>42000</v>
      </c>
      <c r="AA19" s="16">
        <v>0</v>
      </c>
      <c r="AB19" s="16">
        <v>36000</v>
      </c>
      <c r="AC19" s="16">
        <v>0</v>
      </c>
      <c r="AD19" s="16">
        <v>66765</v>
      </c>
      <c r="AE19" s="16">
        <v>0</v>
      </c>
      <c r="AF19" s="16">
        <v>111000</v>
      </c>
      <c r="AG19" s="16">
        <v>0</v>
      </c>
      <c r="AH19" s="16"/>
      <c r="AI19" s="16"/>
      <c r="AJ19" s="16"/>
      <c r="AK19" s="16"/>
      <c r="AL19" s="31"/>
      <c r="AM19" s="16"/>
      <c r="AN19" s="16">
        <f t="shared" si="5"/>
        <v>464765</v>
      </c>
      <c r="AO19" s="16">
        <f t="shared" si="1"/>
        <v>0</v>
      </c>
      <c r="AP19" s="17">
        <f t="shared" si="6"/>
        <v>464765</v>
      </c>
      <c r="AQ19" s="23">
        <f t="shared" si="7"/>
        <v>423235</v>
      </c>
      <c r="AR19" s="24">
        <v>0</v>
      </c>
      <c r="AS19" s="32">
        <v>0</v>
      </c>
      <c r="AT19" s="18">
        <v>0</v>
      </c>
      <c r="AU19" s="25">
        <f t="shared" si="2"/>
        <v>0</v>
      </c>
      <c r="AV19" s="35">
        <f t="shared" si="3"/>
        <v>423235</v>
      </c>
      <c r="AW19" s="33">
        <f t="shared" si="4"/>
        <v>-423235</v>
      </c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</row>
    <row r="20" spans="1:77" ht="30" customHeight="1">
      <c r="A20" s="7">
        <v>16</v>
      </c>
      <c r="B20" s="10" t="s">
        <v>13</v>
      </c>
      <c r="C20" s="13">
        <v>0</v>
      </c>
      <c r="D20" s="106">
        <v>260000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/>
      <c r="N20" s="14">
        <v>0</v>
      </c>
      <c r="O20" s="15">
        <f t="shared" si="0"/>
        <v>260000</v>
      </c>
      <c r="P20" s="108">
        <v>0</v>
      </c>
      <c r="Q20" s="16">
        <v>0</v>
      </c>
      <c r="R20" s="16">
        <v>25000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105000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32220</v>
      </c>
      <c r="AG20" s="16">
        <v>0</v>
      </c>
      <c r="AH20" s="16"/>
      <c r="AI20" s="16"/>
      <c r="AJ20" s="16"/>
      <c r="AK20" s="16"/>
      <c r="AL20" s="31"/>
      <c r="AM20" s="16"/>
      <c r="AN20" s="16">
        <f t="shared" si="5"/>
        <v>162220</v>
      </c>
      <c r="AO20" s="16">
        <f t="shared" si="1"/>
        <v>0</v>
      </c>
      <c r="AP20" s="17">
        <f t="shared" si="6"/>
        <v>162220</v>
      </c>
      <c r="AQ20" s="23">
        <f t="shared" si="7"/>
        <v>97780</v>
      </c>
      <c r="AR20" s="24">
        <v>0</v>
      </c>
      <c r="AS20" s="18">
        <v>0</v>
      </c>
      <c r="AT20" s="18">
        <v>0</v>
      </c>
      <c r="AU20" s="25">
        <f t="shared" si="2"/>
        <v>0</v>
      </c>
      <c r="AV20" s="35">
        <f t="shared" si="3"/>
        <v>97780</v>
      </c>
      <c r="AW20" s="33">
        <f t="shared" si="4"/>
        <v>-97780</v>
      </c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</row>
    <row r="21" spans="1:77" ht="30" customHeight="1">
      <c r="A21" s="7">
        <v>17</v>
      </c>
      <c r="B21" s="10" t="s">
        <v>14</v>
      </c>
      <c r="C21" s="13">
        <v>0</v>
      </c>
      <c r="D21" s="106">
        <v>86500</v>
      </c>
      <c r="E21" s="14">
        <v>0</v>
      </c>
      <c r="F21" s="14">
        <v>0</v>
      </c>
      <c r="G21" s="14">
        <v>0</v>
      </c>
      <c r="H21" s="14">
        <v>0</v>
      </c>
      <c r="I21" s="14">
        <v>63500</v>
      </c>
      <c r="J21" s="14">
        <v>0</v>
      </c>
      <c r="K21" s="14">
        <v>0</v>
      </c>
      <c r="L21" s="14">
        <v>0</v>
      </c>
      <c r="M21" s="14"/>
      <c r="N21" s="14">
        <v>0</v>
      </c>
      <c r="O21" s="15">
        <f t="shared" si="0"/>
        <v>150000</v>
      </c>
      <c r="P21" s="108">
        <v>0</v>
      </c>
      <c r="Q21" s="16">
        <v>0</v>
      </c>
      <c r="R21" s="16">
        <v>0</v>
      </c>
      <c r="S21" s="16">
        <v>0</v>
      </c>
      <c r="T21" s="16">
        <v>50000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50000</v>
      </c>
      <c r="AE21" s="16">
        <v>0</v>
      </c>
      <c r="AF21" s="16">
        <v>0</v>
      </c>
      <c r="AG21" s="16">
        <v>0</v>
      </c>
      <c r="AH21" s="16"/>
      <c r="AI21" s="16"/>
      <c r="AJ21" s="16"/>
      <c r="AK21" s="16"/>
      <c r="AL21" s="31"/>
      <c r="AM21" s="16"/>
      <c r="AN21" s="16">
        <f t="shared" si="5"/>
        <v>100000</v>
      </c>
      <c r="AO21" s="16">
        <f t="shared" si="1"/>
        <v>0</v>
      </c>
      <c r="AP21" s="17">
        <f t="shared" si="6"/>
        <v>100000</v>
      </c>
      <c r="AQ21" s="23">
        <f t="shared" si="7"/>
        <v>50000</v>
      </c>
      <c r="AR21" s="24">
        <v>0</v>
      </c>
      <c r="AS21" s="18">
        <v>0</v>
      </c>
      <c r="AT21" s="18">
        <v>0</v>
      </c>
      <c r="AU21" s="25">
        <f t="shared" si="2"/>
        <v>0</v>
      </c>
      <c r="AV21" s="35">
        <f t="shared" si="3"/>
        <v>50000</v>
      </c>
      <c r="AW21" s="33">
        <f t="shared" si="4"/>
        <v>-50000</v>
      </c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</row>
    <row r="22" spans="1:77" ht="30" customHeight="1">
      <c r="A22" s="7">
        <v>18</v>
      </c>
      <c r="B22" s="10" t="s">
        <v>15</v>
      </c>
      <c r="C22" s="13">
        <v>0</v>
      </c>
      <c r="D22" s="106">
        <v>180000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/>
      <c r="N22" s="14">
        <v>0</v>
      </c>
      <c r="O22" s="15">
        <f t="shared" si="0"/>
        <v>180000</v>
      </c>
      <c r="P22" s="108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100000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4000</v>
      </c>
      <c r="AC22" s="16">
        <v>0</v>
      </c>
      <c r="AD22" s="16">
        <v>25000</v>
      </c>
      <c r="AE22" s="16">
        <v>0</v>
      </c>
      <c r="AF22" s="16">
        <v>0</v>
      </c>
      <c r="AG22" s="16">
        <v>0</v>
      </c>
      <c r="AH22" s="16"/>
      <c r="AI22" s="16"/>
      <c r="AJ22" s="16"/>
      <c r="AK22" s="16"/>
      <c r="AL22" s="31"/>
      <c r="AM22" s="16"/>
      <c r="AN22" s="16">
        <f t="shared" si="5"/>
        <v>129000</v>
      </c>
      <c r="AO22" s="16">
        <f t="shared" si="1"/>
        <v>0</v>
      </c>
      <c r="AP22" s="17">
        <f t="shared" si="6"/>
        <v>129000</v>
      </c>
      <c r="AQ22" s="23">
        <f t="shared" si="7"/>
        <v>51000</v>
      </c>
      <c r="AR22" s="24">
        <v>0</v>
      </c>
      <c r="AS22" s="28">
        <v>0</v>
      </c>
      <c r="AT22" s="18">
        <v>0</v>
      </c>
      <c r="AU22" s="25">
        <f t="shared" si="2"/>
        <v>0</v>
      </c>
      <c r="AV22" s="35">
        <f t="shared" si="3"/>
        <v>51000</v>
      </c>
      <c r="AW22" s="33">
        <f t="shared" si="4"/>
        <v>-51000</v>
      </c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</row>
    <row r="23" spans="1:77" ht="30" customHeight="1">
      <c r="A23" s="7">
        <v>19</v>
      </c>
      <c r="B23" s="10" t="s">
        <v>16</v>
      </c>
      <c r="C23" s="13">
        <v>0</v>
      </c>
      <c r="D23" s="106">
        <v>270000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/>
      <c r="N23" s="14">
        <v>0</v>
      </c>
      <c r="O23" s="15">
        <f t="shared" si="0"/>
        <v>270000</v>
      </c>
      <c r="P23" s="108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34400</v>
      </c>
      <c r="AA23" s="16">
        <v>0</v>
      </c>
      <c r="AB23" s="16">
        <v>31987</v>
      </c>
      <c r="AC23" s="16">
        <v>0</v>
      </c>
      <c r="AD23" s="16">
        <v>39600</v>
      </c>
      <c r="AE23" s="16">
        <v>0</v>
      </c>
      <c r="AF23" s="16">
        <v>0</v>
      </c>
      <c r="AG23" s="16">
        <v>0</v>
      </c>
      <c r="AH23" s="16"/>
      <c r="AI23" s="16"/>
      <c r="AJ23" s="16"/>
      <c r="AK23" s="16"/>
      <c r="AL23" s="31"/>
      <c r="AM23" s="16"/>
      <c r="AN23" s="16">
        <f t="shared" si="5"/>
        <v>105987</v>
      </c>
      <c r="AO23" s="16">
        <f t="shared" si="1"/>
        <v>0</v>
      </c>
      <c r="AP23" s="17">
        <f t="shared" si="6"/>
        <v>105987</v>
      </c>
      <c r="AQ23" s="23">
        <f t="shared" si="7"/>
        <v>164013</v>
      </c>
      <c r="AR23" s="24">
        <v>0</v>
      </c>
      <c r="AS23" s="32">
        <v>0</v>
      </c>
      <c r="AT23" s="18">
        <v>0</v>
      </c>
      <c r="AU23" s="25">
        <f t="shared" si="2"/>
        <v>0</v>
      </c>
      <c r="AV23" s="35">
        <f t="shared" si="3"/>
        <v>164013</v>
      </c>
      <c r="AW23" s="33">
        <f t="shared" si="4"/>
        <v>-164013</v>
      </c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</row>
    <row r="24" spans="1:77" ht="30" customHeight="1">
      <c r="A24" s="7">
        <v>20</v>
      </c>
      <c r="B24" s="10" t="s">
        <v>17</v>
      </c>
      <c r="C24" s="13">
        <v>0</v>
      </c>
      <c r="D24" s="106">
        <v>81000</v>
      </c>
      <c r="E24" s="14">
        <v>0</v>
      </c>
      <c r="F24" s="14">
        <v>0</v>
      </c>
      <c r="G24" s="14">
        <v>0</v>
      </c>
      <c r="H24" s="14">
        <v>0</v>
      </c>
      <c r="I24" s="14">
        <v>120000</v>
      </c>
      <c r="J24" s="14">
        <v>0</v>
      </c>
      <c r="K24" s="14">
        <v>0</v>
      </c>
      <c r="L24" s="14">
        <v>0</v>
      </c>
      <c r="M24" s="14"/>
      <c r="N24" s="14">
        <v>0</v>
      </c>
      <c r="O24" s="15">
        <f t="shared" si="0"/>
        <v>201000</v>
      </c>
      <c r="P24" s="108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50000</v>
      </c>
      <c r="Y24" s="16">
        <v>0</v>
      </c>
      <c r="Z24" s="16">
        <v>30000</v>
      </c>
      <c r="AA24" s="16">
        <v>0</v>
      </c>
      <c r="AB24" s="16">
        <v>35000</v>
      </c>
      <c r="AC24" s="16">
        <v>0</v>
      </c>
      <c r="AD24" s="16">
        <v>5000</v>
      </c>
      <c r="AE24" s="16">
        <v>0</v>
      </c>
      <c r="AF24" s="16">
        <v>0</v>
      </c>
      <c r="AG24" s="16">
        <v>0</v>
      </c>
      <c r="AH24" s="16"/>
      <c r="AI24" s="16"/>
      <c r="AJ24" s="16"/>
      <c r="AK24" s="16"/>
      <c r="AL24" s="31"/>
      <c r="AM24" s="16"/>
      <c r="AN24" s="16">
        <f t="shared" si="5"/>
        <v>120000</v>
      </c>
      <c r="AO24" s="16">
        <f t="shared" si="1"/>
        <v>0</v>
      </c>
      <c r="AP24" s="17">
        <f t="shared" si="6"/>
        <v>120000</v>
      </c>
      <c r="AQ24" s="23">
        <f t="shared" si="7"/>
        <v>81000</v>
      </c>
      <c r="AR24" s="24">
        <v>0</v>
      </c>
      <c r="AS24" s="18">
        <v>0</v>
      </c>
      <c r="AT24" s="18">
        <v>0</v>
      </c>
      <c r="AU24" s="25">
        <f t="shared" si="2"/>
        <v>0</v>
      </c>
      <c r="AV24" s="35">
        <f t="shared" si="3"/>
        <v>81000</v>
      </c>
      <c r="AW24" s="33">
        <f t="shared" si="4"/>
        <v>-81000</v>
      </c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</row>
    <row r="25" spans="1:77" ht="30" customHeight="1">
      <c r="A25" s="7">
        <v>21</v>
      </c>
      <c r="B25" s="10" t="s">
        <v>18</v>
      </c>
      <c r="C25" s="13">
        <v>0</v>
      </c>
      <c r="D25" s="106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/>
      <c r="N25" s="14">
        <v>0</v>
      </c>
      <c r="O25" s="15">
        <f t="shared" si="0"/>
        <v>0</v>
      </c>
      <c r="P25" s="108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/>
      <c r="AI25" s="16"/>
      <c r="AJ25" s="16"/>
      <c r="AK25" s="16"/>
      <c r="AL25" s="27"/>
      <c r="AM25" s="16"/>
      <c r="AN25" s="16">
        <f t="shared" si="5"/>
        <v>0</v>
      </c>
      <c r="AO25" s="16">
        <f t="shared" si="1"/>
        <v>0</v>
      </c>
      <c r="AP25" s="17">
        <f t="shared" si="6"/>
        <v>0</v>
      </c>
      <c r="AQ25" s="23">
        <f t="shared" si="7"/>
        <v>0</v>
      </c>
      <c r="AR25" s="24">
        <v>0</v>
      </c>
      <c r="AS25" s="32">
        <v>0</v>
      </c>
      <c r="AT25" s="18">
        <v>0</v>
      </c>
      <c r="AU25" s="25">
        <f t="shared" si="2"/>
        <v>0</v>
      </c>
      <c r="AV25" s="35">
        <f t="shared" si="3"/>
        <v>0</v>
      </c>
      <c r="AW25" s="33">
        <f t="shared" si="4"/>
        <v>0</v>
      </c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</row>
    <row r="26" spans="1:77" ht="30" customHeight="1">
      <c r="A26" s="7">
        <v>22</v>
      </c>
      <c r="B26" s="10" t="s">
        <v>19</v>
      </c>
      <c r="C26" s="13">
        <v>0</v>
      </c>
      <c r="D26" s="106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/>
      <c r="N26" s="14">
        <v>0</v>
      </c>
      <c r="O26" s="15">
        <f t="shared" si="0"/>
        <v>0</v>
      </c>
      <c r="P26" s="108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/>
      <c r="AI26" s="16"/>
      <c r="AJ26" s="16"/>
      <c r="AK26" s="16"/>
      <c r="AL26" s="27"/>
      <c r="AM26" s="16"/>
      <c r="AN26" s="16">
        <f t="shared" si="5"/>
        <v>0</v>
      </c>
      <c r="AO26" s="16">
        <f t="shared" si="1"/>
        <v>0</v>
      </c>
      <c r="AP26" s="17">
        <f t="shared" si="6"/>
        <v>0</v>
      </c>
      <c r="AQ26" s="23">
        <f t="shared" si="7"/>
        <v>0</v>
      </c>
      <c r="AR26" s="24">
        <v>0</v>
      </c>
      <c r="AS26" s="32">
        <v>0</v>
      </c>
      <c r="AT26" s="18">
        <v>0</v>
      </c>
      <c r="AU26" s="25">
        <f t="shared" si="2"/>
        <v>0</v>
      </c>
      <c r="AV26" s="35">
        <f t="shared" si="3"/>
        <v>0</v>
      </c>
      <c r="AW26" s="33">
        <f t="shared" si="4"/>
        <v>0</v>
      </c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</row>
    <row r="27" spans="1:77" ht="30" customHeight="1">
      <c r="A27" s="7">
        <v>23</v>
      </c>
      <c r="B27" s="10" t="s">
        <v>20</v>
      </c>
      <c r="C27" s="13">
        <v>0</v>
      </c>
      <c r="D27" s="106">
        <v>1093000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/>
      <c r="N27" s="14">
        <v>0</v>
      </c>
      <c r="O27" s="15">
        <f t="shared" si="0"/>
        <v>1093000</v>
      </c>
      <c r="P27" s="108">
        <v>0</v>
      </c>
      <c r="Q27" s="16">
        <v>0</v>
      </c>
      <c r="R27" s="16">
        <v>61000</v>
      </c>
      <c r="S27" s="16">
        <v>0</v>
      </c>
      <c r="T27" s="16">
        <v>11500</v>
      </c>
      <c r="U27" s="16">
        <v>0</v>
      </c>
      <c r="V27" s="16">
        <v>35000</v>
      </c>
      <c r="W27" s="16">
        <v>0</v>
      </c>
      <c r="X27" s="16">
        <v>47500</v>
      </c>
      <c r="Y27" s="16">
        <v>0</v>
      </c>
      <c r="Z27" s="16">
        <v>256400</v>
      </c>
      <c r="AA27" s="16">
        <v>0</v>
      </c>
      <c r="AB27" s="16">
        <v>26000</v>
      </c>
      <c r="AC27" s="16">
        <v>0</v>
      </c>
      <c r="AD27" s="16">
        <v>81400</v>
      </c>
      <c r="AE27" s="16">
        <v>0</v>
      </c>
      <c r="AF27" s="16">
        <v>260864</v>
      </c>
      <c r="AG27" s="16">
        <v>0</v>
      </c>
      <c r="AH27" s="16"/>
      <c r="AI27" s="16"/>
      <c r="AJ27" s="16"/>
      <c r="AK27" s="16"/>
      <c r="AL27" s="31"/>
      <c r="AM27" s="16"/>
      <c r="AN27" s="16">
        <f t="shared" si="5"/>
        <v>779664</v>
      </c>
      <c r="AO27" s="16">
        <f t="shared" si="1"/>
        <v>0</v>
      </c>
      <c r="AP27" s="17">
        <f t="shared" si="6"/>
        <v>779664</v>
      </c>
      <c r="AQ27" s="23">
        <f>O27-AP27</f>
        <v>313336</v>
      </c>
      <c r="AR27" s="24">
        <v>0</v>
      </c>
      <c r="AS27" s="18">
        <v>0</v>
      </c>
      <c r="AT27" s="18">
        <v>0</v>
      </c>
      <c r="AU27" s="25">
        <f t="shared" si="2"/>
        <v>0</v>
      </c>
      <c r="AV27" s="35">
        <f t="shared" si="3"/>
        <v>313336</v>
      </c>
      <c r="AW27" s="33">
        <f>AS27+AT27-AV27</f>
        <v>-313336</v>
      </c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</row>
    <row r="28" spans="1:77" s="117" customFormat="1" ht="27.75" customHeight="1">
      <c r="A28" s="109"/>
      <c r="B28" s="110"/>
      <c r="C28" s="111">
        <f>SUM(C5:C27)</f>
        <v>0</v>
      </c>
      <c r="D28" s="112">
        <f t="shared" ref="D28:N28" si="8">SUM(D5:D27)</f>
        <v>14302250</v>
      </c>
      <c r="E28" s="112">
        <f t="shared" si="8"/>
        <v>0</v>
      </c>
      <c r="F28" s="112">
        <f t="shared" si="8"/>
        <v>0</v>
      </c>
      <c r="G28" s="112">
        <f t="shared" si="8"/>
        <v>0</v>
      </c>
      <c r="H28" s="112">
        <f t="shared" si="8"/>
        <v>0</v>
      </c>
      <c r="I28" s="112">
        <f t="shared" si="8"/>
        <v>183500</v>
      </c>
      <c r="J28" s="112">
        <f>SUM(J5:J27)</f>
        <v>0</v>
      </c>
      <c r="K28" s="112">
        <f t="shared" si="8"/>
        <v>150000</v>
      </c>
      <c r="L28" s="112">
        <f t="shared" si="8"/>
        <v>177000</v>
      </c>
      <c r="M28" s="112">
        <f>SUM(M5:M27)</f>
        <v>0</v>
      </c>
      <c r="N28" s="112">
        <f t="shared" si="8"/>
        <v>0</v>
      </c>
      <c r="O28" s="400">
        <f>SUM(C28:N28)</f>
        <v>14812750</v>
      </c>
      <c r="P28" s="113">
        <f>SUM(P5:P27)</f>
        <v>0</v>
      </c>
      <c r="Q28" s="114">
        <f>SUM(Q5:Q27)</f>
        <v>0</v>
      </c>
      <c r="R28" s="114">
        <f t="shared" ref="R28:AO28" si="9">SUM(R5:R27)</f>
        <v>419063</v>
      </c>
      <c r="S28" s="114">
        <f t="shared" si="9"/>
        <v>0</v>
      </c>
      <c r="T28" s="114">
        <f t="shared" si="9"/>
        <v>790000</v>
      </c>
      <c r="U28" s="114">
        <f t="shared" si="9"/>
        <v>63</v>
      </c>
      <c r="V28" s="114">
        <f t="shared" si="9"/>
        <v>1815763</v>
      </c>
      <c r="W28" s="114">
        <f t="shared" si="9"/>
        <v>76</v>
      </c>
      <c r="X28" s="114">
        <f t="shared" si="9"/>
        <v>1347372</v>
      </c>
      <c r="Y28" s="114">
        <f t="shared" si="9"/>
        <v>0</v>
      </c>
      <c r="Z28" s="114">
        <f t="shared" si="9"/>
        <v>1245211</v>
      </c>
      <c r="AA28" s="114">
        <f t="shared" si="9"/>
        <v>0</v>
      </c>
      <c r="AB28" s="114">
        <f t="shared" si="9"/>
        <v>1155302</v>
      </c>
      <c r="AC28" s="114">
        <f t="shared" si="9"/>
        <v>0</v>
      </c>
      <c r="AD28" s="114">
        <f t="shared" si="9"/>
        <v>1867240</v>
      </c>
      <c r="AE28" s="114">
        <f t="shared" si="9"/>
        <v>77</v>
      </c>
      <c r="AF28" s="114">
        <f t="shared" si="9"/>
        <v>1460229</v>
      </c>
      <c r="AG28" s="114">
        <f t="shared" si="9"/>
        <v>0</v>
      </c>
      <c r="AH28" s="114">
        <f t="shared" si="9"/>
        <v>0</v>
      </c>
      <c r="AI28" s="114">
        <f t="shared" si="9"/>
        <v>0</v>
      </c>
      <c r="AJ28" s="114">
        <f t="shared" si="9"/>
        <v>0</v>
      </c>
      <c r="AK28" s="114">
        <f t="shared" si="9"/>
        <v>0</v>
      </c>
      <c r="AL28" s="114">
        <f t="shared" si="9"/>
        <v>0</v>
      </c>
      <c r="AM28" s="114">
        <f t="shared" si="9"/>
        <v>0</v>
      </c>
      <c r="AN28" s="402">
        <f t="shared" si="9"/>
        <v>10100180</v>
      </c>
      <c r="AO28" s="402">
        <f t="shared" si="9"/>
        <v>216</v>
      </c>
      <c r="AP28" s="404">
        <f>SUM(AP5:AP27)</f>
        <v>10100396</v>
      </c>
      <c r="AQ28" s="406">
        <f>SUM(AQ5:AQ27)</f>
        <v>4712354</v>
      </c>
      <c r="AR28" s="384">
        <f>SUM(AR5:AR27)</f>
        <v>0</v>
      </c>
      <c r="AS28" s="385">
        <f>SUM(AS5:AS27)</f>
        <v>0</v>
      </c>
      <c r="AT28" s="385">
        <f>SUM(AT5:AT27)</f>
        <v>0</v>
      </c>
      <c r="AU28" s="386">
        <f t="shared" si="2"/>
        <v>0</v>
      </c>
      <c r="AV28" s="380">
        <f>SUM(AV5:AV27)</f>
        <v>4712354</v>
      </c>
      <c r="AW28" s="382">
        <f>AS28+AT28-AV28</f>
        <v>-4712354</v>
      </c>
      <c r="AX28" s="115"/>
      <c r="AY28" s="115"/>
      <c r="AZ28" s="115"/>
      <c r="BA28" s="115"/>
      <c r="BB28" s="115"/>
      <c r="BC28" s="115"/>
      <c r="BD28" s="115"/>
      <c r="BE28" s="115"/>
      <c r="BF28" s="115"/>
      <c r="BG28" s="115"/>
      <c r="BH28" s="115"/>
      <c r="BI28" s="115"/>
      <c r="BJ28" s="116"/>
      <c r="BK28" s="116"/>
      <c r="BL28" s="116"/>
      <c r="BM28" s="116"/>
      <c r="BN28" s="116"/>
      <c r="BO28" s="116"/>
      <c r="BP28" s="116"/>
      <c r="BQ28" s="116"/>
      <c r="BR28" s="116"/>
      <c r="BS28" s="116"/>
      <c r="BT28" s="116"/>
      <c r="BU28" s="116"/>
      <c r="BV28" s="116"/>
      <c r="BW28" s="116"/>
      <c r="BX28" s="116"/>
      <c r="BY28" s="116"/>
    </row>
    <row r="29" spans="1:77" s="22" customFormat="1" ht="17.25" thickBot="1">
      <c r="A29" s="19"/>
      <c r="B29" s="19"/>
      <c r="C29" s="20" t="s">
        <v>21</v>
      </c>
      <c r="D29" s="21" t="s">
        <v>22</v>
      </c>
      <c r="E29" s="21" t="s">
        <v>23</v>
      </c>
      <c r="F29" s="21" t="s">
        <v>24</v>
      </c>
      <c r="G29" s="21" t="s">
        <v>25</v>
      </c>
      <c r="H29" s="21" t="s">
        <v>26</v>
      </c>
      <c r="I29" s="21" t="s">
        <v>27</v>
      </c>
      <c r="J29" s="21" t="s">
        <v>28</v>
      </c>
      <c r="K29" s="21" t="s">
        <v>29</v>
      </c>
      <c r="L29" s="21" t="s">
        <v>30</v>
      </c>
      <c r="M29" s="21" t="s">
        <v>31</v>
      </c>
      <c r="N29" s="21" t="s">
        <v>32</v>
      </c>
      <c r="O29" s="401"/>
      <c r="P29" s="408" t="s">
        <v>47</v>
      </c>
      <c r="Q29" s="375"/>
      <c r="R29" s="374" t="s">
        <v>49</v>
      </c>
      <c r="S29" s="375"/>
      <c r="T29" s="374" t="s">
        <v>50</v>
      </c>
      <c r="U29" s="375"/>
      <c r="V29" s="374" t="s">
        <v>51</v>
      </c>
      <c r="W29" s="375"/>
      <c r="X29" s="374" t="s">
        <v>52</v>
      </c>
      <c r="Y29" s="375"/>
      <c r="Z29" s="374" t="s">
        <v>53</v>
      </c>
      <c r="AA29" s="375"/>
      <c r="AB29" s="374" t="s">
        <v>54</v>
      </c>
      <c r="AC29" s="375"/>
      <c r="AD29" s="374" t="s">
        <v>55</v>
      </c>
      <c r="AE29" s="375"/>
      <c r="AF29" s="374" t="s">
        <v>56</v>
      </c>
      <c r="AG29" s="375"/>
      <c r="AH29" s="374" t="s">
        <v>57</v>
      </c>
      <c r="AI29" s="375"/>
      <c r="AJ29" s="374" t="s">
        <v>58</v>
      </c>
      <c r="AK29" s="375"/>
      <c r="AL29" s="374" t="s">
        <v>59</v>
      </c>
      <c r="AM29" s="375"/>
      <c r="AN29" s="403"/>
      <c r="AO29" s="403"/>
      <c r="AP29" s="405"/>
      <c r="AQ29" s="407"/>
      <c r="AR29" s="384"/>
      <c r="AS29" s="385"/>
      <c r="AT29" s="385"/>
      <c r="AU29" s="386"/>
      <c r="AV29" s="381"/>
      <c r="AW29" s="383"/>
    </row>
    <row r="31" spans="1:77">
      <c r="O31" s="118" t="s">
        <v>141</v>
      </c>
    </row>
  </sheetData>
  <mergeCells count="47">
    <mergeCell ref="X3:Y3"/>
    <mergeCell ref="Z3:AA3"/>
    <mergeCell ref="AB3:AC3"/>
    <mergeCell ref="AD3:AE3"/>
    <mergeCell ref="A2:B4"/>
    <mergeCell ref="C2:O2"/>
    <mergeCell ref="P2:AP2"/>
    <mergeCell ref="AF3:AG3"/>
    <mergeCell ref="AH3:AI3"/>
    <mergeCell ref="AJ3:AK3"/>
    <mergeCell ref="AL3:AM3"/>
    <mergeCell ref="O3:O4"/>
    <mergeCell ref="P3:Q3"/>
    <mergeCell ref="R3:S3"/>
    <mergeCell ref="T3:U3"/>
    <mergeCell ref="V3:W3"/>
    <mergeCell ref="O28:O29"/>
    <mergeCell ref="AN28:AN29"/>
    <mergeCell ref="AO28:AO29"/>
    <mergeCell ref="AP28:AP29"/>
    <mergeCell ref="AQ28:AQ29"/>
    <mergeCell ref="AL29:AM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V2:AW3"/>
    <mergeCell ref="AV28:AV29"/>
    <mergeCell ref="AW28:AW29"/>
    <mergeCell ref="AR28:AR29"/>
    <mergeCell ref="AS28:AS29"/>
    <mergeCell ref="AT28:AT29"/>
    <mergeCell ref="AU28:AU29"/>
    <mergeCell ref="AN3:AO3"/>
    <mergeCell ref="AP3:AP4"/>
    <mergeCell ref="AR3:AR4"/>
    <mergeCell ref="AS3:AT3"/>
    <mergeCell ref="AU3:AU4"/>
    <mergeCell ref="AQ2:AQ4"/>
    <mergeCell ref="AR2:AU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8"/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2</vt:i4>
      </vt:variant>
    </vt:vector>
  </HeadingPairs>
  <TitlesOfParts>
    <vt:vector size="10" baseType="lpstr">
      <vt:lpstr>109年度(GV3結算,至9月底止)-109.11.7</vt:lpstr>
      <vt:lpstr>驗算式２_109年度GV3運用情形</vt:lpstr>
      <vt:lpstr>驗算式３-110.1.8</vt:lpstr>
      <vt:lpstr>109GV3_各單位運用情形彙總表</vt:lpstr>
      <vt:lpstr>收支清單</vt:lpstr>
      <vt:lpstr>110. . 統計(第二次繳回)</vt:lpstr>
      <vt:lpstr>109年度(F255結算)</vt:lpstr>
      <vt:lpstr>01020102</vt:lpstr>
      <vt:lpstr>'109年度(F255結算)'!Print_Area</vt:lpstr>
      <vt:lpstr>'109年度(GV3結算,至9月底止)-109.11.7'!Print_Area</vt:lpstr>
    </vt:vector>
  </TitlesOfParts>
  <Company>財團法人犯罪被害人保護協會 Association for Victims Support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cvpa0102</dc:creator>
  <cp:lastModifiedBy>user</cp:lastModifiedBy>
  <cp:lastPrinted>2022-02-10T08:06:09Z</cp:lastPrinted>
  <dcterms:created xsi:type="dcterms:W3CDTF">2019-12-16T02:07:04Z</dcterms:created>
  <dcterms:modified xsi:type="dcterms:W3CDTF">2026-10-01T05:50:03Z</dcterms:modified>
</cp:coreProperties>
</file>